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S:\christoph.roethlisbe\swiss-galoppers\"/>
    </mc:Choice>
  </mc:AlternateContent>
  <xr:revisionPtr revIDLastSave="0" documentId="13_ncr:1_{E48909EC-23A3-4386-91E5-AE5B5A42E28E}" xr6:coauthVersionLast="41" xr6:coauthVersionMax="41" xr10:uidLastSave="{00000000-0000-0000-0000-000000000000}"/>
  <bookViews>
    <workbookView xWindow="-120" yWindow="-120" windowWidth="29040" windowHeight="17640" activeTab="1" xr2:uid="{00000000-000D-0000-FFFF-FFFF00000000}"/>
  </bookViews>
  <sheets>
    <sheet name="Erfassung" sheetId="1" r:id="rId1"/>
    <sheet name="Parameter" sheetId="2" r:id="rId2"/>
    <sheet name="Tex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9" i="2" l="1"/>
  <c r="M9" i="2"/>
  <c r="J9" i="2"/>
  <c r="G9" i="2"/>
  <c r="F29" i="2"/>
  <c r="F30" i="2"/>
  <c r="F31" i="2"/>
  <c r="F28" i="2"/>
  <c r="A30" i="3"/>
  <c r="A31" i="3"/>
  <c r="X19" i="2"/>
  <c r="W18" i="2"/>
  <c r="X18" i="2" s="1"/>
  <c r="W19" i="2"/>
  <c r="W20" i="2"/>
  <c r="X20" i="2" s="1"/>
  <c r="W21" i="2"/>
  <c r="X21" i="2" s="1"/>
  <c r="W22" i="2"/>
  <c r="X22" i="2" s="1"/>
  <c r="W17" i="2"/>
  <c r="X17" i="2" s="1"/>
  <c r="A29" i="3"/>
  <c r="T18" i="2"/>
  <c r="U18" i="2" s="1"/>
  <c r="T19" i="2"/>
  <c r="V19" i="2" s="1"/>
  <c r="T20" i="2"/>
  <c r="V20" i="2" s="1"/>
  <c r="T21" i="2"/>
  <c r="V21" i="2" s="1"/>
  <c r="T22" i="2"/>
  <c r="U22" i="2" s="1"/>
  <c r="T17" i="2"/>
  <c r="U17" i="2" s="1"/>
  <c r="V18" i="2" l="1"/>
  <c r="V17" i="2"/>
  <c r="V22" i="2"/>
  <c r="U19" i="2"/>
  <c r="U21" i="2"/>
  <c r="U20" i="2"/>
  <c r="I18" i="2"/>
  <c r="J18" i="2"/>
  <c r="I19" i="2"/>
  <c r="J19" i="2"/>
  <c r="I20" i="2"/>
  <c r="J20" i="2"/>
  <c r="I21" i="2"/>
  <c r="J21" i="2"/>
  <c r="I22" i="2"/>
  <c r="J22" i="2"/>
  <c r="M18" i="2"/>
  <c r="R18" i="2" s="1"/>
  <c r="N18" i="2"/>
  <c r="S18" i="2" s="1"/>
  <c r="M19" i="2"/>
  <c r="R19" i="2" s="1"/>
  <c r="N19" i="2"/>
  <c r="S19" i="2" s="1"/>
  <c r="M20" i="2"/>
  <c r="R20" i="2" s="1"/>
  <c r="N20" i="2"/>
  <c r="S20" i="2" s="1"/>
  <c r="M21" i="2"/>
  <c r="R21" i="2" s="1"/>
  <c r="N21" i="2"/>
  <c r="S21" i="2" s="1"/>
  <c r="M22" i="2"/>
  <c r="R22" i="2" s="1"/>
  <c r="N22" i="2"/>
  <c r="S22" i="2" s="1"/>
  <c r="N17" i="2"/>
  <c r="S17" i="2" s="1"/>
  <c r="M17" i="2"/>
  <c r="R17" i="2" s="1"/>
  <c r="J17" i="2"/>
  <c r="I17" i="2"/>
  <c r="AG21" i="2" l="1"/>
  <c r="AH21" i="2" s="1"/>
  <c r="Y17" i="2"/>
  <c r="Z17" i="2"/>
  <c r="AA20" i="2"/>
  <c r="AB20" i="2" s="1"/>
  <c r="AA22" i="2"/>
  <c r="AB22" i="2" s="1"/>
  <c r="AA17" i="2"/>
  <c r="AB17" i="2"/>
  <c r="AE21" i="2"/>
  <c r="AF21" i="2" s="1"/>
  <c r="Y18" i="2"/>
  <c r="Z18" i="2" s="1"/>
  <c r="AA21" i="2"/>
  <c r="AB21" i="2"/>
  <c r="Y21" i="2"/>
  <c r="Z21" i="2"/>
  <c r="AG19" i="2"/>
  <c r="AH19" i="2" s="1"/>
  <c r="AE19" i="2"/>
  <c r="AF19" i="2"/>
  <c r="AG22" i="2"/>
  <c r="AH22" i="2"/>
  <c r="AG18" i="2"/>
  <c r="AH18" i="2" s="1"/>
  <c r="AA19" i="2"/>
  <c r="AB19" i="2" s="1"/>
  <c r="AA18" i="2"/>
  <c r="AB18" i="2"/>
  <c r="Y22" i="2"/>
  <c r="Z22" i="2"/>
  <c r="AG20" i="2"/>
  <c r="AH20" i="2" s="1"/>
  <c r="AE20" i="2"/>
  <c r="AF20" i="2" s="1"/>
  <c r="AE17" i="2"/>
  <c r="AF17" i="2" s="1"/>
  <c r="AG17" i="2"/>
  <c r="AH17" i="2"/>
  <c r="Y20" i="2"/>
  <c r="Z20" i="2" s="1"/>
  <c r="AE22" i="2"/>
  <c r="AF22" i="2"/>
  <c r="AE18" i="2"/>
  <c r="AF18" i="2" s="1"/>
  <c r="Y19" i="2"/>
  <c r="Z19" i="2" s="1"/>
  <c r="A28" i="3"/>
  <c r="Q18" i="2"/>
  <c r="Q19" i="2"/>
  <c r="Q20" i="2"/>
  <c r="Q21" i="2"/>
  <c r="Q22" i="2"/>
  <c r="Q17" i="2"/>
  <c r="A27" i="3"/>
  <c r="A26" i="3"/>
  <c r="A14" i="3"/>
  <c r="A19" i="1" s="1"/>
  <c r="A15" i="3"/>
  <c r="A20" i="1" s="1"/>
  <c r="A16" i="3"/>
  <c r="A21" i="1" s="1"/>
  <c r="A17" i="3"/>
  <c r="A22" i="1" s="1"/>
  <c r="A18" i="3"/>
  <c r="A23" i="1" s="1"/>
  <c r="A19" i="3"/>
  <c r="A24" i="1" s="1"/>
  <c r="A20" i="3"/>
  <c r="A25" i="1" s="1"/>
  <c r="A21" i="3"/>
  <c r="A27" i="1" s="1"/>
  <c r="A22" i="3"/>
  <c r="B18" i="1" s="1"/>
  <c r="A23" i="3"/>
  <c r="C18" i="1" s="1"/>
  <c r="A24" i="3"/>
  <c r="D18" i="1" s="1"/>
  <c r="A25" i="3"/>
  <c r="E18" i="1" s="1"/>
  <c r="A13" i="3"/>
  <c r="A16" i="1" s="1"/>
  <c r="C4" i="2"/>
  <c r="D4" i="2"/>
  <c r="E4" i="2"/>
  <c r="C5" i="2"/>
  <c r="D5" i="2"/>
  <c r="E5" i="2"/>
  <c r="C6" i="2"/>
  <c r="J6" i="2" s="1"/>
  <c r="D6" i="2"/>
  <c r="M6" i="2" s="1"/>
  <c r="E6" i="2"/>
  <c r="P6" i="2" s="1"/>
  <c r="C7" i="2"/>
  <c r="J7" i="2" s="1"/>
  <c r="D7" i="2"/>
  <c r="M7" i="2" s="1"/>
  <c r="E7" i="2"/>
  <c r="P7" i="2" s="1"/>
  <c r="B5" i="2"/>
  <c r="B6" i="2"/>
  <c r="G6" i="2" s="1"/>
  <c r="B7" i="2"/>
  <c r="G7" i="2" s="1"/>
  <c r="B4" i="2"/>
  <c r="AC22" i="2" l="1"/>
  <c r="AD22" i="2" s="1"/>
  <c r="AC21" i="2"/>
  <c r="AD21" i="2"/>
  <c r="AC20" i="2"/>
  <c r="AD20" i="2"/>
  <c r="AC19" i="2"/>
  <c r="AD19" i="2" s="1"/>
  <c r="AC17" i="2"/>
  <c r="AD17" i="2" s="1"/>
  <c r="AC18" i="2"/>
  <c r="AD18" i="2" s="1"/>
  <c r="AI18" i="2"/>
  <c r="AI19" i="2"/>
  <c r="AI20" i="2"/>
  <c r="AI21" i="2"/>
  <c r="AI22" i="2"/>
  <c r="AI17" i="2"/>
  <c r="C25" i="2"/>
  <c r="B31" i="2" s="1"/>
  <c r="B25" i="2"/>
  <c r="C30" i="2" s="1"/>
  <c r="B29" i="2" l="1"/>
  <c r="B30" i="2"/>
  <c r="D30" i="2" s="1"/>
  <c r="B28" i="2"/>
  <c r="E28" i="2" s="1"/>
  <c r="E31" i="2"/>
  <c r="C28" i="2"/>
  <c r="C31" i="2"/>
  <c r="D31" i="2"/>
  <c r="C29" i="2"/>
  <c r="E30" i="2" l="1"/>
  <c r="M8" i="2" s="1"/>
  <c r="P4" i="2"/>
  <c r="D28" i="2"/>
  <c r="D29" i="2"/>
  <c r="E29" i="2"/>
  <c r="O4" i="2" l="1"/>
  <c r="N4" i="2"/>
  <c r="E24" i="1"/>
  <c r="P8" i="2"/>
  <c r="D24" i="1"/>
  <c r="M4" i="2"/>
  <c r="P5" i="2"/>
  <c r="M5" i="2"/>
  <c r="J8" i="2"/>
  <c r="G8" i="2"/>
  <c r="D25" i="1" l="1"/>
  <c r="O8" i="2"/>
  <c r="V6" i="2" s="1"/>
  <c r="O7" i="2"/>
  <c r="U6" i="2" s="1"/>
  <c r="T6" i="2"/>
  <c r="R4" i="2"/>
  <c r="Q4" i="2"/>
  <c r="L4" i="2"/>
  <c r="K4" i="2"/>
  <c r="I4" i="2"/>
  <c r="H4" i="2"/>
  <c r="B24" i="1"/>
  <c r="B27" i="1" s="1"/>
  <c r="G4" i="2"/>
  <c r="G5" i="2"/>
  <c r="C24" i="1"/>
  <c r="J4" i="2"/>
  <c r="J5" i="2"/>
  <c r="B25" i="1" l="1"/>
  <c r="I8" i="2"/>
  <c r="V4" i="2" s="1"/>
  <c r="E25" i="1"/>
  <c r="R8" i="2"/>
  <c r="V7" i="2" s="1"/>
  <c r="T5" i="2"/>
  <c r="C25" i="1"/>
  <c r="L8" i="2"/>
  <c r="V5" i="2" s="1"/>
  <c r="I7" i="2"/>
  <c r="U4" i="2" s="1"/>
  <c r="L7" i="2"/>
  <c r="U5" i="2" s="1"/>
  <c r="R7" i="2"/>
  <c r="U7" i="2" s="1"/>
  <c r="T7" i="2"/>
  <c r="T4" i="2"/>
  <c r="T8" i="2" l="1"/>
  <c r="U8" i="2"/>
  <c r="V8" i="2"/>
  <c r="B28" i="1" l="1"/>
</calcChain>
</file>

<file path=xl/sharedStrings.xml><?xml version="1.0" encoding="utf-8"?>
<sst xmlns="http://schemas.openxmlformats.org/spreadsheetml/2006/main" count="140" uniqueCount="77">
  <si>
    <t>Hufbreite</t>
  </si>
  <si>
    <t>Huflänge</t>
  </si>
  <si>
    <t>Ballenlänge</t>
  </si>
  <si>
    <t>Ballenhöhe</t>
  </si>
  <si>
    <t>Verlängerung</t>
  </si>
  <si>
    <t>Vorne links</t>
  </si>
  <si>
    <t>Vorne rechts</t>
  </si>
  <si>
    <t>Hinten links</t>
  </si>
  <si>
    <t>Hinten rechts</t>
  </si>
  <si>
    <t>zu verwendender Typ</t>
  </si>
  <si>
    <t>L1</t>
  </si>
  <si>
    <t>L2</t>
  </si>
  <si>
    <t>SG3</t>
  </si>
  <si>
    <t>Grösse</t>
  </si>
  <si>
    <t>SG4</t>
  </si>
  <si>
    <t>SG5</t>
  </si>
  <si>
    <t>SG6</t>
  </si>
  <si>
    <t>SG7</t>
  </si>
  <si>
    <t>SG8</t>
  </si>
  <si>
    <t>Hufwachstum / Woche</t>
  </si>
  <si>
    <t>Breite</t>
  </si>
  <si>
    <t>Länge</t>
  </si>
  <si>
    <t>min</t>
  </si>
  <si>
    <t>max</t>
  </si>
  <si>
    <t>Grössenbestimmung</t>
  </si>
  <si>
    <t>letzte Hufbearbeitung (Anzahl Wochen)</t>
  </si>
  <si>
    <t>Erstbestimmung Grösse</t>
  </si>
  <si>
    <t>Hufwachstum Breite</t>
  </si>
  <si>
    <t>Grösse links vorne</t>
  </si>
  <si>
    <t>Grösse rechts vorne</t>
  </si>
  <si>
    <t>Grösse links hinten</t>
  </si>
  <si>
    <t>Grösse rechts hinten</t>
  </si>
  <si>
    <t xml:space="preserve">von </t>
  </si>
  <si>
    <t>bis</t>
  </si>
  <si>
    <t>Grösse min</t>
  </si>
  <si>
    <t>Grösse max</t>
  </si>
  <si>
    <t>eff. Grösse</t>
  </si>
  <si>
    <t>Bemerkung:</t>
  </si>
  <si>
    <t>Textanzeige Hufbearbeitung nach Anzahl Wochen</t>
  </si>
  <si>
    <t>Sprache</t>
  </si>
  <si>
    <t>Deutsch</t>
  </si>
  <si>
    <t>English</t>
  </si>
  <si>
    <t>Erfassung in</t>
  </si>
  <si>
    <t>Capture in</t>
  </si>
  <si>
    <t>Erfassungsgrössen</t>
  </si>
  <si>
    <t>Millimeter</t>
  </si>
  <si>
    <t>Inch</t>
  </si>
  <si>
    <t>Umrechnung Inch in mm (1 inch = x mm)</t>
  </si>
  <si>
    <t>Werte in mm</t>
  </si>
  <si>
    <t>Français</t>
  </si>
  <si>
    <t>Sprache / Language / Langue:</t>
  </si>
  <si>
    <t>Da die letzte Hufbearbeitung mehr als 4 Wochen zurück liegt, kann die Berechnung stark abweichen. Daher empfehlen wir Ihnen die nächste Hufbearbeitung abzuwarten und direkt danach erneut zu messen</t>
  </si>
  <si>
    <t>capturer dans</t>
  </si>
  <si>
    <t>Textausgabe</t>
  </si>
  <si>
    <t>Grösse nicht eindeutig</t>
  </si>
  <si>
    <t>Summe Ballenhöhe / Ballenlänge</t>
  </si>
  <si>
    <t>Normal</t>
  </si>
  <si>
    <t>korrigiert (Hufwachstum gem. eff. Grösse F27-F30)</t>
  </si>
  <si>
    <t>Hauptsitz</t>
  </si>
  <si>
    <t>Swiss Galoppers</t>
  </si>
  <si>
    <t>Gass 12</t>
  </si>
  <si>
    <t>CH-5242 Lupfig</t>
  </si>
  <si>
    <t>Tel. +41 (0)52 763 43 43</t>
  </si>
  <si>
    <t>www.swiss-galoppers.ch</t>
  </si>
  <si>
    <t>Die Grössenbestimmung ist nicht eindeutig, bitte erfassen Sie die Masse direkt nach der Hufbearbeitung oder wenden Sie sich an SwissGaloppers</t>
  </si>
  <si>
    <t>Bitte beachten Sie, dass die Hufbreite im oberen Bereich liegt. Durch den Hufwachstum kann sich die Hufbreite so vergrössert haben, dass der Huf nicht mehr in die Hufschuhe passt. Wir empfehlen mit einer Feile oder Raspel die Breite anzupassen, damit der Schuh gut sitzt</t>
  </si>
  <si>
    <t>Toleranzwert Hufbreite</t>
  </si>
  <si>
    <t>Toleranz Hufbreite</t>
  </si>
  <si>
    <t>Toleranz Länge / Höhe</t>
  </si>
  <si>
    <t>Toleranzwert Ballenhöhe / Ballenlänge</t>
  </si>
  <si>
    <t>Toleranzwert Ballenhöhe</t>
  </si>
  <si>
    <t>Toleranz Ballenhöhe</t>
  </si>
  <si>
    <t>L / H</t>
  </si>
  <si>
    <t>Toleranz</t>
  </si>
  <si>
    <t>Text</t>
  </si>
  <si>
    <t>Text Toleranz Ballenhöhe</t>
  </si>
  <si>
    <t>Text Toleranz Ballenhöhe / Ballenlänge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</si>
</sst>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9C5700"/>
      <name val="Calibri"/>
      <family val="2"/>
      <scheme val="minor"/>
    </font>
    <font>
      <b/>
      <sz val="11"/>
      <color theme="1"/>
      <name val="Calibri"/>
      <family val="2"/>
      <scheme val="minor"/>
    </font>
    <font>
      <u/>
      <sz val="11"/>
      <color theme="10"/>
      <name val="Calibri"/>
      <family val="2"/>
      <scheme val="minor"/>
    </font>
    <font>
      <b/>
      <sz val="9"/>
      <color rgb="FF800000"/>
      <name val="Century Gothic"/>
      <family val="2"/>
    </font>
    <font>
      <sz val="9"/>
      <color theme="1"/>
      <name val="Century Gothic"/>
      <family val="2"/>
    </font>
  </fonts>
  <fills count="9">
    <fill>
      <patternFill patternType="none"/>
    </fill>
    <fill>
      <patternFill patternType="gray125"/>
    </fill>
    <fill>
      <patternFill patternType="solid">
        <fgColor theme="7" tint="0.79998168889431442"/>
        <bgColor indexed="64"/>
      </patternFill>
    </fill>
    <fill>
      <patternFill patternType="solid">
        <fgColor rgb="FFFFEB9C"/>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0" fontId="1" fillId="3" borderId="0" applyNumberFormat="0" applyBorder="0" applyAlignment="0" applyProtection="0"/>
    <xf numFmtId="0" fontId="3" fillId="0" borderId="0" applyNumberFormat="0" applyFill="0" applyBorder="0" applyAlignment="0" applyProtection="0"/>
  </cellStyleXfs>
  <cellXfs count="35">
    <xf numFmtId="0" fontId="0" fillId="0" borderId="0" xfId="0"/>
    <xf numFmtId="0" fontId="0" fillId="2" borderId="0" xfId="0" applyFill="1" applyProtection="1">
      <protection locked="0"/>
    </xf>
    <xf numFmtId="0" fontId="1" fillId="3" borderId="0" xfId="1"/>
    <xf numFmtId="0" fontId="2" fillId="0" borderId="0" xfId="0" applyFont="1"/>
    <xf numFmtId="0" fontId="0" fillId="0" borderId="0" xfId="0" applyAlignment="1">
      <alignment wrapText="1"/>
    </xf>
    <xf numFmtId="0" fontId="1" fillId="3" borderId="0" xfId="1" applyAlignment="1">
      <alignment wrapText="1"/>
    </xf>
    <xf numFmtId="0" fontId="0" fillId="0" borderId="0" xfId="0" applyAlignment="1">
      <alignment horizontal="center"/>
    </xf>
    <xf numFmtId="0" fontId="0" fillId="0" borderId="0" xfId="0" applyAlignment="1">
      <alignment horizontal="center"/>
    </xf>
    <xf numFmtId="0" fontId="0" fillId="2" borderId="0" xfId="0" applyFill="1" applyBorder="1" applyProtection="1">
      <protection locked="0"/>
    </xf>
    <xf numFmtId="0" fontId="0" fillId="0" borderId="0" xfId="0" applyBorder="1" applyProtection="1"/>
    <xf numFmtId="0" fontId="0" fillId="0" borderId="0" xfId="0" applyProtection="1"/>
    <xf numFmtId="0" fontId="0" fillId="0" borderId="0" xfId="0" applyAlignment="1" applyProtection="1">
      <alignment horizontal="left" vertical="top"/>
    </xf>
    <xf numFmtId="0" fontId="0" fillId="0" borderId="0" xfId="0" applyAlignment="1" applyProtection="1">
      <alignment horizontal="left" vertical="top" wrapText="1"/>
    </xf>
    <xf numFmtId="0" fontId="0" fillId="0" borderId="0" xfId="0" applyAlignment="1">
      <alignment horizontal="center"/>
    </xf>
    <xf numFmtId="9" fontId="0" fillId="0" borderId="0" xfId="0" applyNumberFormat="1"/>
    <xf numFmtId="0" fontId="0" fillId="5" borderId="0" xfId="0" applyFill="1"/>
    <xf numFmtId="9" fontId="1" fillId="3" borderId="0" xfId="1" applyNumberFormat="1"/>
    <xf numFmtId="0" fontId="0" fillId="0" borderId="0" xfId="0" applyFill="1"/>
    <xf numFmtId="0" fontId="0" fillId="6" borderId="0" xfId="0" applyFill="1"/>
    <xf numFmtId="0" fontId="0" fillId="7" borderId="0" xfId="0" applyFill="1"/>
    <xf numFmtId="0" fontId="0" fillId="0" borderId="1" xfId="0" applyBorder="1"/>
    <xf numFmtId="0" fontId="0" fillId="8" borderId="2" xfId="0" applyFill="1" applyBorder="1" applyAlignment="1">
      <alignment horizontal="center"/>
    </xf>
    <xf numFmtId="0" fontId="0" fillId="8" borderId="3" xfId="0" applyFill="1" applyBorder="1" applyAlignment="1">
      <alignment horizontal="center"/>
    </xf>
    <xf numFmtId="0" fontId="0" fillId="0" borderId="4" xfId="0" applyBorder="1"/>
    <xf numFmtId="0" fontId="0" fillId="0" borderId="0" xfId="0" applyBorder="1"/>
    <xf numFmtId="0" fontId="0" fillId="0" borderId="5" xfId="0" applyBorder="1"/>
    <xf numFmtId="0" fontId="0" fillId="4" borderId="4" xfId="0" applyFill="1" applyBorder="1"/>
    <xf numFmtId="0" fontId="0" fillId="0" borderId="0" xfId="0" applyFill="1" applyBorder="1"/>
    <xf numFmtId="0" fontId="0" fillId="0" borderId="5" xfId="0" applyFill="1" applyBorder="1"/>
    <xf numFmtId="0" fontId="0" fillId="0" borderId="6" xfId="0" applyBorder="1"/>
    <xf numFmtId="0" fontId="0" fillId="0" borderId="7" xfId="0" applyBorder="1"/>
    <xf numFmtId="0" fontId="0" fillId="0" borderId="8" xfId="0" applyBorder="1"/>
    <xf numFmtId="0" fontId="4" fillId="0" borderId="0" xfId="0" applyFont="1" applyAlignment="1" applyProtection="1">
      <alignment vertical="center"/>
    </xf>
    <xf numFmtId="0" fontId="5" fillId="0" borderId="0" xfId="0" applyFont="1" applyAlignment="1" applyProtection="1">
      <alignment vertical="center"/>
    </xf>
    <xf numFmtId="0" fontId="3" fillId="0" borderId="0" xfId="2" applyAlignment="1" applyProtection="1">
      <alignment vertical="center"/>
    </xf>
  </cellXfs>
  <cellStyles count="3">
    <cellStyle name="Link" xfId="2" builtinId="8"/>
    <cellStyle name="Neutral" xfId="1" builtinId="28"/>
    <cellStyle name="Standard" xfId="0" builtinId="0"/>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FF00"/>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1295400</xdr:colOff>
      <xdr:row>12</xdr:row>
      <xdr:rowOff>20055</xdr:rowOff>
    </xdr:to>
    <xdr:pic>
      <xdr:nvPicPr>
        <xdr:cNvPr id="3" name="Grafik 2">
          <a:extLst>
            <a:ext uri="{FF2B5EF4-FFF2-40B4-BE49-F238E27FC236}">
              <a16:creationId xmlns:a16="http://schemas.microsoft.com/office/drawing/2014/main" id="{CEBEC8A0-CD14-4BE8-A7B9-68348B9FBB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90975" cy="2306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wiss-galoppers.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zoomScaleNormal="100" workbookViewId="0">
      <selection activeCell="B27" sqref="B27:E27"/>
    </sheetView>
  </sheetViews>
  <sheetFormatPr baseColWidth="10" defaultRowHeight="15" x14ac:dyDescent="0.25"/>
  <cols>
    <col min="1" max="1" width="36.85546875" style="10" bestFit="1" customWidth="1"/>
    <col min="2" max="5" width="22.42578125" style="10" customWidth="1"/>
    <col min="6" max="16384" width="11.42578125" style="10"/>
  </cols>
  <sheetData>
    <row r="1" spans="1:5" x14ac:dyDescent="0.25">
      <c r="A1" s="9"/>
      <c r="B1" s="9"/>
      <c r="C1" s="9"/>
      <c r="D1" s="9"/>
      <c r="E1" s="9"/>
    </row>
    <row r="2" spans="1:5" x14ac:dyDescent="0.25">
      <c r="A2" s="9"/>
      <c r="B2" s="9"/>
      <c r="C2" s="9"/>
      <c r="D2" s="9"/>
      <c r="E2" s="9"/>
    </row>
    <row r="3" spans="1:5" x14ac:dyDescent="0.25">
      <c r="A3" s="9"/>
      <c r="B3" s="9"/>
      <c r="C3" s="9"/>
      <c r="D3" s="9"/>
      <c r="E3" s="9"/>
    </row>
    <row r="4" spans="1:5" x14ac:dyDescent="0.25">
      <c r="A4" s="9"/>
      <c r="B4" s="9"/>
      <c r="C4" s="9"/>
      <c r="D4" s="9"/>
      <c r="E4" s="9"/>
    </row>
    <row r="5" spans="1:5" x14ac:dyDescent="0.25">
      <c r="A5" s="9"/>
      <c r="B5" s="9"/>
      <c r="C5" s="9"/>
      <c r="D5" s="9"/>
      <c r="E5" s="9"/>
    </row>
    <row r="6" spans="1:5" x14ac:dyDescent="0.25">
      <c r="A6" s="9"/>
      <c r="B6" s="9"/>
      <c r="C6" s="9"/>
      <c r="D6" s="9"/>
      <c r="E6" s="9"/>
    </row>
    <row r="7" spans="1:5" x14ac:dyDescent="0.25">
      <c r="A7" s="9"/>
      <c r="B7" s="9"/>
      <c r="C7" s="9"/>
      <c r="D7" s="9"/>
      <c r="E7" s="9"/>
    </row>
    <row r="8" spans="1:5" x14ac:dyDescent="0.25">
      <c r="A8" s="9"/>
      <c r="B8" s="9"/>
      <c r="C8" s="9"/>
      <c r="D8" s="9"/>
      <c r="E8" s="9"/>
    </row>
    <row r="9" spans="1:5" x14ac:dyDescent="0.25">
      <c r="A9" s="9"/>
      <c r="B9" s="9"/>
      <c r="C9" s="9"/>
      <c r="D9" s="9"/>
      <c r="E9" s="9"/>
    </row>
    <row r="10" spans="1:5" x14ac:dyDescent="0.25">
      <c r="A10" s="9"/>
      <c r="B10" s="9"/>
      <c r="C10" s="9"/>
      <c r="D10" s="9"/>
      <c r="E10" s="9"/>
    </row>
    <row r="11" spans="1:5" x14ac:dyDescent="0.25">
      <c r="A11" s="9"/>
      <c r="B11" s="9"/>
      <c r="C11" s="9"/>
      <c r="D11" s="9"/>
      <c r="E11" s="9"/>
    </row>
    <row r="12" spans="1:5" x14ac:dyDescent="0.25">
      <c r="A12" s="9"/>
      <c r="B12" s="9"/>
      <c r="C12" s="9"/>
      <c r="D12" s="9"/>
      <c r="E12" s="9"/>
    </row>
    <row r="13" spans="1:5" x14ac:dyDescent="0.25">
      <c r="A13" s="9"/>
      <c r="B13" s="9"/>
      <c r="C13" s="9"/>
      <c r="D13" s="9"/>
      <c r="E13" s="9"/>
    </row>
    <row r="14" spans="1:5" x14ac:dyDescent="0.25">
      <c r="A14" s="9" t="s">
        <v>50</v>
      </c>
      <c r="B14" s="8"/>
      <c r="C14" s="9"/>
      <c r="D14" s="9"/>
      <c r="E14" s="9"/>
    </row>
    <row r="15" spans="1:5" x14ac:dyDescent="0.25">
      <c r="A15" s="9"/>
      <c r="B15" s="9"/>
      <c r="C15" s="9"/>
      <c r="D15" s="9"/>
      <c r="E15" s="9"/>
    </row>
    <row r="16" spans="1:5" x14ac:dyDescent="0.25">
      <c r="A16" s="10" t="str">
        <f>Texte!$A$13</f>
        <v>Erfassung in</v>
      </c>
      <c r="B16" s="1"/>
    </row>
    <row r="18" spans="1:5" x14ac:dyDescent="0.25">
      <c r="B18" s="10" t="str">
        <f>Texte!$A$22</f>
        <v>Vorne links</v>
      </c>
      <c r="C18" s="10" t="str">
        <f>Texte!$A$23</f>
        <v>Vorne rechts</v>
      </c>
      <c r="D18" s="10" t="str">
        <f>Texte!$A$24</f>
        <v>Hinten links</v>
      </c>
      <c r="E18" s="10" t="str">
        <f>Texte!$A$25</f>
        <v>Hinten rechts</v>
      </c>
    </row>
    <row r="19" spans="1:5" x14ac:dyDescent="0.25">
      <c r="A19" s="10" t="str">
        <f>Texte!$A$14</f>
        <v>Hufbreite</v>
      </c>
      <c r="B19" s="1"/>
      <c r="C19" s="1"/>
      <c r="D19" s="1"/>
      <c r="E19" s="1"/>
    </row>
    <row r="20" spans="1:5" x14ac:dyDescent="0.25">
      <c r="A20" s="10" t="str">
        <f>Texte!$A$15</f>
        <v>Huflänge</v>
      </c>
      <c r="B20" s="1"/>
      <c r="C20" s="1"/>
      <c r="D20" s="1"/>
      <c r="E20" s="1"/>
    </row>
    <row r="21" spans="1:5" x14ac:dyDescent="0.25">
      <c r="A21" s="10" t="str">
        <f>Texte!$A$16</f>
        <v>Ballenlänge</v>
      </c>
      <c r="B21" s="1"/>
      <c r="C21" s="1"/>
      <c r="D21" s="1"/>
      <c r="E21" s="1"/>
    </row>
    <row r="22" spans="1:5" x14ac:dyDescent="0.25">
      <c r="A22" s="10" t="str">
        <f>Texte!$A$17</f>
        <v>Ballenhöhe</v>
      </c>
      <c r="B22" s="1"/>
      <c r="C22" s="1"/>
      <c r="D22" s="1"/>
      <c r="E22" s="1"/>
    </row>
    <row r="23" spans="1:5" x14ac:dyDescent="0.25">
      <c r="A23" s="10" t="str">
        <f>Texte!$A$18</f>
        <v>letzte Hufbearbeitung (Anzahl Wochen)</v>
      </c>
      <c r="B23" s="1"/>
    </row>
    <row r="24" spans="1:5" x14ac:dyDescent="0.25">
      <c r="A24" s="10" t="str">
        <f>Texte!$A$19</f>
        <v>Grössenbestimmung</v>
      </c>
      <c r="B24" s="10" t="str">
        <f>Parameter!F28</f>
        <v/>
      </c>
      <c r="C24" s="10" t="str">
        <f>Parameter!F29</f>
        <v/>
      </c>
      <c r="D24" s="10" t="str">
        <f>Parameter!F30</f>
        <v/>
      </c>
      <c r="E24" s="10" t="str">
        <f>Parameter!F31</f>
        <v/>
      </c>
    </row>
    <row r="25" spans="1:5" x14ac:dyDescent="0.25">
      <c r="A25" s="10" t="str">
        <f>Texte!$A$20</f>
        <v>zu verwendender Typ</v>
      </c>
      <c r="B25" s="10" t="str">
        <f>Parameter!G9</f>
        <v/>
      </c>
      <c r="C25" s="10" t="str">
        <f>Parameter!J9</f>
        <v/>
      </c>
      <c r="D25" s="10" t="str">
        <f>Parameter!M9</f>
        <v/>
      </c>
      <c r="E25" s="10" t="str">
        <f>Parameter!P9</f>
        <v/>
      </c>
    </row>
    <row r="27" spans="1:5" ht="75.75" customHeight="1" x14ac:dyDescent="0.25">
      <c r="A27" s="11" t="str">
        <f>Texte!$A$21</f>
        <v>Bemerkung:</v>
      </c>
      <c r="B27" s="12" t="str">
        <f>IF(B24=Texte!A26,Texte!A28,IF(B23&gt;Parameter!B33,Texte!$A$27,""))</f>
        <v/>
      </c>
      <c r="C27" s="12"/>
      <c r="D27" s="12"/>
      <c r="E27" s="12"/>
    </row>
    <row r="28" spans="1:5" ht="72" customHeight="1" x14ac:dyDescent="0.25">
      <c r="B28" s="12" t="str">
        <f>IF(Parameter!T8&gt;0,Texte!A29,IF(Parameter!U8&gt;0,Texte!A30,IF(Parameter!V8&gt;0,Texte!A31,"")))</f>
        <v/>
      </c>
      <c r="C28" s="12"/>
      <c r="D28" s="12"/>
      <c r="E28" s="12"/>
    </row>
    <row r="30" spans="1:5" x14ac:dyDescent="0.25">
      <c r="E30" s="10" t="s">
        <v>58</v>
      </c>
    </row>
    <row r="31" spans="1:5" x14ac:dyDescent="0.25">
      <c r="E31" s="32" t="s">
        <v>59</v>
      </c>
    </row>
    <row r="32" spans="1:5" x14ac:dyDescent="0.25">
      <c r="E32" s="33" t="s">
        <v>60</v>
      </c>
    </row>
    <row r="33" spans="5:5" x14ac:dyDescent="0.25">
      <c r="E33" s="33" t="s">
        <v>61</v>
      </c>
    </row>
    <row r="34" spans="5:5" x14ac:dyDescent="0.25">
      <c r="E34" s="33" t="s">
        <v>62</v>
      </c>
    </row>
    <row r="35" spans="5:5" x14ac:dyDescent="0.25">
      <c r="E35" s="34" t="s">
        <v>63</v>
      </c>
    </row>
  </sheetData>
  <mergeCells count="2">
    <mergeCell ref="B27:E27"/>
    <mergeCell ref="B28:E28"/>
  </mergeCells>
  <conditionalFormatting sqref="B27:E27 B23">
    <cfRule type="expression" dxfId="24" priority="17">
      <formula>IF($B$27&lt;&gt;"","wahr","")</formula>
    </cfRule>
  </conditionalFormatting>
  <dataValidations count="1">
    <dataValidation type="whole" errorStyle="information" allowBlank="1" showInputMessage="1" showErrorMessage="1" error="Es können nur ganze Wochen erfasst werden." prompt="Es können nur ganze Wochen erfasst werden." sqref="B23" xr:uid="{9D5FD198-D256-483B-A8FA-AC0E1BE63349}">
      <formula1>0</formula1>
      <formula2>10</formula2>
    </dataValidation>
  </dataValidations>
  <hyperlinks>
    <hyperlink ref="E35" r:id="rId1" xr:uid="{C1A69C23-AB4C-461B-9E0B-F545C68C71FC}"/>
  </hyperlinks>
  <pageMargins left="0.7" right="0.7" top="0.78740157499999996" bottom="0.78740157499999996" header="0.3" footer="0.3"/>
  <pageSetup paperSize="9" orientation="landscape" verticalDpi="0" r:id="rId2"/>
  <drawing r:id="rId3"/>
  <extLst>
    <ext xmlns:x14="http://schemas.microsoft.com/office/spreadsheetml/2009/9/main" uri="{78C0D931-6437-407d-A8EE-F0AAD7539E65}">
      <x14:conditionalFormattings>
        <x14:conditionalFormatting xmlns:xm="http://schemas.microsoft.com/office/excel/2006/main">
          <x14:cfRule type="expression" priority="9" id="{C62BF593-FA62-4E4D-8D39-E875465CC052}">
            <xm:f>IF(Parameter!$T$8&gt;0,TRUE,FALSE)</xm:f>
            <x14:dxf>
              <fill>
                <patternFill>
                  <bgColor rgb="FFFFFF00"/>
                </patternFill>
              </fill>
            </x14:dxf>
          </x14:cfRule>
          <x14:cfRule type="expression" priority="10" id="{ECE8078F-B069-4217-B603-51429CF459B1}">
            <xm:f>IF(Parameter!$U$8&gt;0,TRUE,FALSE)</xm:f>
            <x14:dxf>
              <fill>
                <patternFill>
                  <bgColor rgb="FFFFC000"/>
                </patternFill>
              </fill>
            </x14:dxf>
          </x14:cfRule>
          <x14:cfRule type="expression" priority="11" id="{BE7829DC-3680-4619-84B2-8DBC9687E1D6}">
            <xm:f>IF(Parameter!$V$8&gt;0,TRUE,FALSE)</xm:f>
            <x14:dxf>
              <fill>
                <patternFill>
                  <bgColor rgb="FFFF0000"/>
                </patternFill>
              </fill>
            </x14:dxf>
          </x14:cfRule>
          <xm:sqref>B28:E28</xm:sqref>
        </x14:conditionalFormatting>
        <x14:conditionalFormatting xmlns:xm="http://schemas.microsoft.com/office/excel/2006/main">
          <x14:cfRule type="expression" priority="15" id="{0B9D9C71-9538-4344-BB7A-C362B1272B1D}">
            <xm:f>IF(Parameter!$T$4="x",TRUE,FALSE)</xm:f>
            <x14:dxf>
              <fill>
                <patternFill>
                  <bgColor rgb="FFFFFF00"/>
                </patternFill>
              </fill>
            </x14:dxf>
          </x14:cfRule>
          <xm:sqref>B19</xm:sqref>
        </x14:conditionalFormatting>
        <x14:conditionalFormatting xmlns:xm="http://schemas.microsoft.com/office/excel/2006/main">
          <x14:cfRule type="expression" priority="14" id="{060F8B91-8847-434D-A6EE-C3FD1557A942}">
            <xm:f>IF(Parameter!$T$5="x",TRUE,FALSE)</xm:f>
            <x14:dxf>
              <fill>
                <patternFill>
                  <bgColor rgb="FFFFFF00"/>
                </patternFill>
              </fill>
            </x14:dxf>
          </x14:cfRule>
          <xm:sqref>C19</xm:sqref>
        </x14:conditionalFormatting>
        <x14:conditionalFormatting xmlns:xm="http://schemas.microsoft.com/office/excel/2006/main">
          <x14:cfRule type="expression" priority="13" id="{771649C4-64C5-489C-A361-D5DCF6E3D4E6}">
            <xm:f>IF(Parameter!$T$6="x",TRUE,FALSE)</xm:f>
            <x14:dxf>
              <fill>
                <patternFill>
                  <bgColor rgb="FFFFFF00"/>
                </patternFill>
              </fill>
            </x14:dxf>
          </x14:cfRule>
          <xm:sqref>D19</xm:sqref>
        </x14:conditionalFormatting>
        <x14:conditionalFormatting xmlns:xm="http://schemas.microsoft.com/office/excel/2006/main">
          <x14:cfRule type="expression" priority="12" id="{27C4A96E-DF9E-4EA8-838D-E298BF6F7AAB}">
            <xm:f>IF(Parameter!$T$7="x",TRUE,FALSE)</xm:f>
            <x14:dxf>
              <fill>
                <patternFill>
                  <bgColor rgb="FFFFFF00"/>
                </patternFill>
              </fill>
            </x14:dxf>
          </x14:cfRule>
          <xm:sqref>E19</xm:sqref>
        </x14:conditionalFormatting>
        <x14:conditionalFormatting xmlns:xm="http://schemas.microsoft.com/office/excel/2006/main">
          <x14:cfRule type="expression" priority="8" id="{3D1CE471-35BB-4609-8C9C-1E7CF80CF7B6}">
            <xm:f>IF(Parameter!$U$4="x",TRUE,FALSE)</xm:f>
            <x14:dxf>
              <fill>
                <patternFill>
                  <bgColor rgb="FFFFC000"/>
                </patternFill>
              </fill>
            </x14:dxf>
          </x14:cfRule>
          <xm:sqref>B22</xm:sqref>
        </x14:conditionalFormatting>
        <x14:conditionalFormatting xmlns:xm="http://schemas.microsoft.com/office/excel/2006/main">
          <x14:cfRule type="expression" priority="7" id="{313B06C2-5057-4FBD-8644-71BD3E358FD3}">
            <xm:f>IF(Parameter!$U$5="x",TRUE,FALSE)</xm:f>
            <x14:dxf>
              <fill>
                <patternFill>
                  <bgColor rgb="FFFFC000"/>
                </patternFill>
              </fill>
            </x14:dxf>
          </x14:cfRule>
          <xm:sqref>C22</xm:sqref>
        </x14:conditionalFormatting>
        <x14:conditionalFormatting xmlns:xm="http://schemas.microsoft.com/office/excel/2006/main">
          <x14:cfRule type="expression" priority="6" id="{51EFA897-4C8F-40FD-952B-75E4066F0550}">
            <xm:f>IF(Parameter!$U$6="x",TRUE,FALSE)</xm:f>
            <x14:dxf>
              <fill>
                <patternFill>
                  <bgColor rgb="FFFFC000"/>
                </patternFill>
              </fill>
            </x14:dxf>
          </x14:cfRule>
          <xm:sqref>D22</xm:sqref>
        </x14:conditionalFormatting>
        <x14:conditionalFormatting xmlns:xm="http://schemas.microsoft.com/office/excel/2006/main">
          <x14:cfRule type="expression" priority="5" id="{C9B794DA-BF75-4A81-8DD3-F148E94FF970}">
            <xm:f>IF(Parameter!$U$7="x",TRUE,FALSE)</xm:f>
            <x14:dxf>
              <fill>
                <patternFill>
                  <bgColor rgb="FFFFC000"/>
                </patternFill>
              </fill>
            </x14:dxf>
          </x14:cfRule>
          <xm:sqref>E22</xm:sqref>
        </x14:conditionalFormatting>
        <x14:conditionalFormatting xmlns:xm="http://schemas.microsoft.com/office/excel/2006/main">
          <x14:cfRule type="expression" priority="4" id="{CD6E2BC1-CD59-4084-8CE4-9B797F81343D}">
            <xm:f>IF(Parameter!$V$4="x",TRUE,FALSE)</xm:f>
            <x14:dxf>
              <fill>
                <patternFill>
                  <bgColor rgb="FFFF0000"/>
                </patternFill>
              </fill>
            </x14:dxf>
          </x14:cfRule>
          <xm:sqref>B21:B22</xm:sqref>
        </x14:conditionalFormatting>
        <x14:conditionalFormatting xmlns:xm="http://schemas.microsoft.com/office/excel/2006/main">
          <x14:cfRule type="expression" priority="3" id="{EE2002FC-CBFF-443B-AE56-B84A792A7659}">
            <xm:f>IF(Parameter!$V$5="x",TRUE,FALSE)</xm:f>
            <x14:dxf>
              <fill>
                <patternFill>
                  <bgColor rgb="FFFF0000"/>
                </patternFill>
              </fill>
            </x14:dxf>
          </x14:cfRule>
          <xm:sqref>C21:C22</xm:sqref>
        </x14:conditionalFormatting>
        <x14:conditionalFormatting xmlns:xm="http://schemas.microsoft.com/office/excel/2006/main">
          <x14:cfRule type="expression" priority="2" id="{559B853C-9EE8-43CB-960F-679AD4BD761E}">
            <xm:f>IF(Parameter!$V$6="x",TRUE,FALSE)</xm:f>
            <x14:dxf>
              <fill>
                <patternFill>
                  <bgColor rgb="FFFF0000"/>
                </patternFill>
              </fill>
            </x14:dxf>
          </x14:cfRule>
          <xm:sqref>D21:D22</xm:sqref>
        </x14:conditionalFormatting>
        <x14:conditionalFormatting xmlns:xm="http://schemas.microsoft.com/office/excel/2006/main">
          <x14:cfRule type="expression" priority="1" id="{B3A12D2C-9523-489B-989B-F6622D598DE4}">
            <xm:f>IF(Parameter!$V$7="x",TRUE,FALSE)</xm:f>
            <x14:dxf>
              <fill>
                <patternFill>
                  <bgColor rgb="FFFF0000"/>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72EA1F5-97D7-4DC7-8B68-DE5510BABEB9}">
          <x14:formula1>
            <xm:f>Texte!$B$2:$B$4</xm:f>
          </x14:formula1>
          <xm:sqref>B14</xm:sqref>
        </x14:dataValidation>
        <x14:dataValidation type="list" allowBlank="1" showInputMessage="1" showErrorMessage="1" xr:uid="{E851E64B-8094-428F-B27E-23CE8E4FF8C6}">
          <x14:formula1>
            <xm:f>Texte!$B$9:$B$10</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3"/>
  <sheetViews>
    <sheetView tabSelected="1" workbookViewId="0">
      <selection activeCell="K14" sqref="K14:N14"/>
    </sheetView>
  </sheetViews>
  <sheetFormatPr baseColWidth="10" defaultRowHeight="15" x14ac:dyDescent="0.25"/>
  <cols>
    <col min="1" max="1" width="45.7109375" bestFit="1" customWidth="1"/>
    <col min="10" max="10" width="12.85546875" bestFit="1" customWidth="1"/>
    <col min="19" max="19" width="15" bestFit="1" customWidth="1"/>
    <col min="20" max="20" width="22" bestFit="1" customWidth="1"/>
    <col min="21" max="21" width="20.28515625" bestFit="1" customWidth="1"/>
    <col min="22" max="22" width="20.7109375" bestFit="1" customWidth="1"/>
    <col min="23" max="34" width="15" customWidth="1"/>
  </cols>
  <sheetData>
    <row r="1" spans="1:35" ht="15.75" thickBot="1" x14ac:dyDescent="0.3">
      <c r="A1" s="3" t="s">
        <v>48</v>
      </c>
      <c r="G1" t="s">
        <v>57</v>
      </c>
    </row>
    <row r="2" spans="1:35" x14ac:dyDescent="0.25">
      <c r="A2" s="3"/>
      <c r="G2" s="20" t="s">
        <v>5</v>
      </c>
      <c r="H2" s="21" t="s">
        <v>73</v>
      </c>
      <c r="I2" s="22"/>
      <c r="J2" s="20" t="s">
        <v>6</v>
      </c>
      <c r="K2" s="21" t="s">
        <v>73</v>
      </c>
      <c r="L2" s="22"/>
      <c r="M2" s="20" t="s">
        <v>7</v>
      </c>
      <c r="N2" s="21" t="s">
        <v>73</v>
      </c>
      <c r="O2" s="22"/>
      <c r="P2" s="20" t="s">
        <v>8</v>
      </c>
      <c r="Q2" s="21" t="s">
        <v>73</v>
      </c>
      <c r="R2" s="22"/>
    </row>
    <row r="3" spans="1:35" x14ac:dyDescent="0.25">
      <c r="B3" t="s">
        <v>5</v>
      </c>
      <c r="C3" t="s">
        <v>6</v>
      </c>
      <c r="D3" t="s">
        <v>7</v>
      </c>
      <c r="E3" t="s">
        <v>8</v>
      </c>
      <c r="G3" s="23"/>
      <c r="H3" s="24" t="s">
        <v>22</v>
      </c>
      <c r="I3" s="25" t="s">
        <v>23</v>
      </c>
      <c r="J3" s="23"/>
      <c r="K3" s="24" t="s">
        <v>22</v>
      </c>
      <c r="L3" s="25" t="s">
        <v>23</v>
      </c>
      <c r="M3" s="23"/>
      <c r="N3" s="24" t="s">
        <v>22</v>
      </c>
      <c r="O3" s="25" t="s">
        <v>23</v>
      </c>
      <c r="P3" s="23"/>
      <c r="Q3" s="24" t="s">
        <v>22</v>
      </c>
      <c r="R3" s="25" t="s">
        <v>23</v>
      </c>
      <c r="T3" s="15" t="s">
        <v>67</v>
      </c>
      <c r="U3" s="18" t="s">
        <v>71</v>
      </c>
      <c r="V3" s="19" t="s">
        <v>68</v>
      </c>
    </row>
    <row r="4" spans="1:35" x14ac:dyDescent="0.25">
      <c r="A4" t="s">
        <v>0</v>
      </c>
      <c r="B4">
        <f>IF(Erfassung!B19="Inch",Erfassung!B19*Parameter!$B$13,Erfassung!B19)</f>
        <v>0</v>
      </c>
      <c r="C4">
        <f>IF(Erfassung!C19="Inch",Erfassung!C19*Parameter!$B$13,Erfassung!C19)</f>
        <v>0</v>
      </c>
      <c r="D4">
        <f>IF(Erfassung!D19="Inch",Erfassung!D19*Parameter!$B$13,Erfassung!D19)</f>
        <v>0</v>
      </c>
      <c r="E4">
        <f>IF(Erfassung!E19="Inch",Erfassung!E19*Parameter!$B$13,Erfassung!E19)</f>
        <v>0</v>
      </c>
      <c r="G4" s="26" t="e">
        <f>B4-(Erfassung!$B$23*VLOOKUP(Parameter!F28,Parameter!$A$17:$AH$22,2))</f>
        <v>#N/A</v>
      </c>
      <c r="H4" s="27" t="e">
        <f>VLOOKUP(G$8,$A$17:$V$22,21,0)</f>
        <v>#N/A</v>
      </c>
      <c r="I4" s="28" t="e">
        <f>VLOOKUP(G$8,$A$17:$V$22,22,0)</f>
        <v>#N/A</v>
      </c>
      <c r="J4" s="26" t="e">
        <f>C4-(Erfassung!$B$23*VLOOKUP(Parameter!F29,Parameter!$A$17:$AH$22,2))</f>
        <v>#N/A</v>
      </c>
      <c r="K4" s="27" t="e">
        <f>VLOOKUP(J$8,$A$17:$V$22,21,0)</f>
        <v>#N/A</v>
      </c>
      <c r="L4" s="28" t="e">
        <f>VLOOKUP(J$8,$A$17:$V$22,22,0)</f>
        <v>#N/A</v>
      </c>
      <c r="M4" s="26" t="e">
        <f>D4-(Erfassung!$B$23*VLOOKUP(Parameter!F30,Parameter!$A$17:$AH$22,2))</f>
        <v>#N/A</v>
      </c>
      <c r="N4" s="27" t="e">
        <f>VLOOKUP(M$8,$A$17:$V$22,21,0)</f>
        <v>#N/A</v>
      </c>
      <c r="O4" s="28" t="e">
        <f>VLOOKUP(M$8,$A$17:$V$22,22,0)</f>
        <v>#N/A</v>
      </c>
      <c r="P4" s="26" t="e">
        <f>E4-(Erfassung!$B$23*VLOOKUP(Parameter!F31,Parameter!$A$17:$AH$22,2))</f>
        <v>#N/A</v>
      </c>
      <c r="Q4" s="27" t="e">
        <f>VLOOKUP(P$8,$A$17:$V$22,21,0)</f>
        <v>#N/A</v>
      </c>
      <c r="R4" s="28" t="e">
        <f>VLOOKUP(P$8,$A$17:$V$22,22,0)</f>
        <v>#N/A</v>
      </c>
      <c r="S4" t="s">
        <v>5</v>
      </c>
      <c r="T4" t="e">
        <f>IF(OR(G4&lt;H4,G4&gt;I4),"x","io")</f>
        <v>#N/A</v>
      </c>
      <c r="U4" t="e">
        <f>IF(G7&gt;I7,"x","io")</f>
        <v>#VALUE!</v>
      </c>
      <c r="V4" t="e">
        <f>IF((G6+G7)&gt;I8,"x","io")</f>
        <v>#VALUE!</v>
      </c>
    </row>
    <row r="5" spans="1:35" x14ac:dyDescent="0.25">
      <c r="A5" t="s">
        <v>1</v>
      </c>
      <c r="B5">
        <f>IF(Erfassung!B20="Inch",Erfassung!B20*Parameter!$B$13,Erfassung!B20)</f>
        <v>0</v>
      </c>
      <c r="C5">
        <f>IF(Erfassung!C20="Inch",Erfassung!C20*Parameter!$B$13,Erfassung!C20)</f>
        <v>0</v>
      </c>
      <c r="D5">
        <f>IF(Erfassung!D20="Inch",Erfassung!D20*Parameter!$B$13,Erfassung!D20)</f>
        <v>0</v>
      </c>
      <c r="E5">
        <f>IF(Erfassung!E20="Inch",Erfassung!E20*Parameter!$B$13,Erfassung!E20)</f>
        <v>0</v>
      </c>
      <c r="G5" s="26" t="e">
        <f>B5-(Erfassung!$B$23*VLOOKUP(Parameter!F28,Parameter!$A$17:$AH$22,2))</f>
        <v>#N/A</v>
      </c>
      <c r="H5" s="27"/>
      <c r="I5" s="28"/>
      <c r="J5" s="26" t="e">
        <f>C5-(Erfassung!$B$23*VLOOKUP(Parameter!F29,Parameter!$A$17:$AH$22,2))</f>
        <v>#N/A</v>
      </c>
      <c r="K5" s="27"/>
      <c r="L5" s="28"/>
      <c r="M5" s="26" t="e">
        <f>D5-(Erfassung!$B$23*VLOOKUP(Parameter!F30,Parameter!$A$17:$AH$22,2))</f>
        <v>#N/A</v>
      </c>
      <c r="N5" s="27"/>
      <c r="O5" s="28"/>
      <c r="P5" s="26" t="e">
        <f>E5-(Erfassung!$B$23*VLOOKUP(Parameter!F30,Parameter!$A$17:$AH$22,2))</f>
        <v>#N/A</v>
      </c>
      <c r="Q5" s="27"/>
      <c r="R5" s="28"/>
      <c r="S5" t="s">
        <v>6</v>
      </c>
      <c r="T5" t="e">
        <f>IF(OR(J4&lt;K4,J4&gt;L4),"x","io")</f>
        <v>#N/A</v>
      </c>
      <c r="U5" t="e">
        <f>IF(J7&gt;L7,"x","io")</f>
        <v>#VALUE!</v>
      </c>
      <c r="V5" t="e">
        <f>IF((J6+J7)&gt;L8,"x","io")</f>
        <v>#VALUE!</v>
      </c>
    </row>
    <row r="6" spans="1:35" x14ac:dyDescent="0.25">
      <c r="A6" t="s">
        <v>2</v>
      </c>
      <c r="B6">
        <f>IF(Erfassung!B21="Inch",Erfassung!B21*Parameter!$B$13,Erfassung!B21)</f>
        <v>0</v>
      </c>
      <c r="C6">
        <f>IF(Erfassung!C21="Inch",Erfassung!C21*Parameter!$B$13,Erfassung!C21)</f>
        <v>0</v>
      </c>
      <c r="D6">
        <f>IF(Erfassung!D21="Inch",Erfassung!D21*Parameter!$B$13,Erfassung!D21)</f>
        <v>0</v>
      </c>
      <c r="E6">
        <f>IF(Erfassung!E21="Inch",Erfassung!E21*Parameter!$B$13,Erfassung!E21)</f>
        <v>0</v>
      </c>
      <c r="G6" s="26">
        <f>B6</f>
        <v>0</v>
      </c>
      <c r="H6" s="27"/>
      <c r="I6" s="28"/>
      <c r="J6" s="26">
        <f>C6</f>
        <v>0</v>
      </c>
      <c r="K6" s="27"/>
      <c r="L6" s="28"/>
      <c r="M6" s="26">
        <f>D6</f>
        <v>0</v>
      </c>
      <c r="N6" s="27"/>
      <c r="O6" s="28"/>
      <c r="P6" s="26">
        <f>E6</f>
        <v>0</v>
      </c>
      <c r="Q6" s="27"/>
      <c r="R6" s="28"/>
      <c r="S6" t="s">
        <v>7</v>
      </c>
      <c r="T6" t="e">
        <f>IF(OR(M4&lt;N4,M4&gt;O4),"x","io")</f>
        <v>#N/A</v>
      </c>
      <c r="U6" t="e">
        <f>IF(M7&gt;O7,"x","io")</f>
        <v>#VALUE!</v>
      </c>
      <c r="V6" t="e">
        <f>IF((M6+M7)&gt;O8,"x","io")</f>
        <v>#VALUE!</v>
      </c>
    </row>
    <row r="7" spans="1:35" x14ac:dyDescent="0.25">
      <c r="A7" t="s">
        <v>3</v>
      </c>
      <c r="B7">
        <f>IF(Erfassung!B22="Inch",Erfassung!B22*Parameter!$B$13,Erfassung!B22)</f>
        <v>0</v>
      </c>
      <c r="C7">
        <f>IF(Erfassung!C22="Inch",Erfassung!C22*Parameter!$B$13,Erfassung!C22)</f>
        <v>0</v>
      </c>
      <c r="D7">
        <f>IF(Erfassung!D22="Inch",Erfassung!D22*Parameter!$B$13,Erfassung!D22)</f>
        <v>0</v>
      </c>
      <c r="E7">
        <f>IF(Erfassung!E22="Inch",Erfassung!E22*Parameter!$B$13,Erfassung!E22)</f>
        <v>0</v>
      </c>
      <c r="G7" s="26">
        <f>B7</f>
        <v>0</v>
      </c>
      <c r="H7" s="24"/>
      <c r="I7" s="28" t="e">
        <f>VLOOKUP(G$8,$A$17:$AB$22,IF($G$9="Standard",24,IF($G$9="L1",26,IF($G$9="L2",28,"FEHLER"))),0)</f>
        <v>#VALUE!</v>
      </c>
      <c r="J7" s="26">
        <f>C7</f>
        <v>0</v>
      </c>
      <c r="K7" s="24"/>
      <c r="L7" s="28" t="e">
        <f>VLOOKUP(J$8,$A$17:$AB$22,IF($J$9="Standard",24,IF($J$9="L1",26,IF($J$9="L2",28,"FEHLER"))),0)</f>
        <v>#VALUE!</v>
      </c>
      <c r="M7" s="26">
        <f>D7</f>
        <v>0</v>
      </c>
      <c r="N7" s="24"/>
      <c r="O7" s="28" t="e">
        <f>VLOOKUP(M$8,$A$17:$AB$22,IF($M$9="Standard",24,IF($M$9="L1",26,IF($M$9="L2",28,"FEHLER"))),0)</f>
        <v>#VALUE!</v>
      </c>
      <c r="P7" s="26">
        <f>E7</f>
        <v>0</v>
      </c>
      <c r="Q7" s="24"/>
      <c r="R7" s="28" t="e">
        <f>VLOOKUP(P$8,$A$17:$AB$22,IF($P$9="Standard",24,IF($P$9="L1",26,IF($P$9="L2",28,"FEHLER"))),0)</f>
        <v>#VALUE!</v>
      </c>
      <c r="S7" t="s">
        <v>8</v>
      </c>
      <c r="T7" t="e">
        <f>IF(OR(P4&lt;Q4,P4&gt;R4),"x","io")</f>
        <v>#N/A</v>
      </c>
      <c r="U7" t="e">
        <f>IF(P7&gt;R7,"x","io")</f>
        <v>#VALUE!</v>
      </c>
      <c r="V7" t="e">
        <f>IF((P6+P7)&gt;R8,"x","io")</f>
        <v>#VALUE!</v>
      </c>
    </row>
    <row r="8" spans="1:35" x14ac:dyDescent="0.25">
      <c r="G8" s="23" t="str">
        <f>F28</f>
        <v/>
      </c>
      <c r="H8" s="24" t="s">
        <v>72</v>
      </c>
      <c r="I8" s="25" t="e">
        <f>VLOOKUP(G$8,$A$17:$AH$22,IF($G$9="Standard",30,IF($G$9="L1",32,IF($G$9="L2",34,"FEHLER"))),0)</f>
        <v>#VALUE!</v>
      </c>
      <c r="J8" s="23" t="str">
        <f>F29</f>
        <v/>
      </c>
      <c r="K8" s="24" t="s">
        <v>72</v>
      </c>
      <c r="L8" s="25" t="e">
        <f>VLOOKUP(J$8,$A$17:$AH$22,IF($J$9="Standard",30,IF($J$9="L1",32,IF($J$9="L2",34,"FEHLER"))),0)</f>
        <v>#VALUE!</v>
      </c>
      <c r="M8" s="23" t="str">
        <f>F30</f>
        <v/>
      </c>
      <c r="N8" s="24" t="s">
        <v>72</v>
      </c>
      <c r="O8" s="25" t="e">
        <f>VLOOKUP(M$8,$A$17:$AH$22,IF($M$9="Standard",30,IF($M$9="L1",32,IF($M$9="L2",34,"FEHLER"))),0)</f>
        <v>#VALUE!</v>
      </c>
      <c r="P8" s="23" t="str">
        <f>F31</f>
        <v/>
      </c>
      <c r="Q8" s="24" t="s">
        <v>72</v>
      </c>
      <c r="R8" s="25" t="e">
        <f>VLOOKUP(P$8,$A$17:$AH$22,IF($P$9="Standard",30,IF($P$9="L1",32,IF($P$9="L2",34,"FEHLER"))),0)</f>
        <v>#VALUE!</v>
      </c>
      <c r="S8" t="s">
        <v>74</v>
      </c>
      <c r="T8">
        <f>COUNTIF(T4:T7,"x")</f>
        <v>0</v>
      </c>
      <c r="U8">
        <f t="shared" ref="U8:V8" si="0">COUNTIF(U4:U7,"x")</f>
        <v>0</v>
      </c>
      <c r="V8">
        <f t="shared" si="0"/>
        <v>0</v>
      </c>
    </row>
    <row r="9" spans="1:35" ht="15.75" thickBot="1" x14ac:dyDescent="0.3">
      <c r="G9" s="29" t="str">
        <f>IF(G8="","",IF(AND((G7+G6)&lt;=VLOOKUP(G8,$A$17:$AH$22,17,0),G7&lt;=VLOOKUP(G8,$A$17:$AH$22,8,0)),"Standard",IF(AND((G7+G6)&lt;=VLOOKUP(G8,$A$17:$AH$22,18,0),G7&lt;=VLOOKUP(G8,$A$17:$AH$22,9,0)),"L1",IF(AND((G7+G6)&lt;=VLOOKUP(G8,$A$17:$AH$22,19,0),G7&lt;=VLOOKUP(G8,$A$17:$AH$22,10,0)),"L2","FEHLER"))))</f>
        <v/>
      </c>
      <c r="H9" s="30"/>
      <c r="I9" s="31"/>
      <c r="J9" s="29" t="str">
        <f>IF(J8="","",IF(AND((J7+J6)&lt;=VLOOKUP(J8,$A$17:$AH$22,17,0),J7&lt;=VLOOKUP(J8,$A$17:$AH$22,8,0)),"Standard",IF(AND((J7+J6)&lt;=VLOOKUP(J8,$A$17:$AH$22,18,0),J7&lt;=VLOOKUP(J8,$A$17:$AH$22,9,0)),"L1",IF(AND((J7+J6)&lt;=VLOOKUP(J8,$A$17:$AH$22,19,0),J7&lt;=VLOOKUP(J8,$A$17:$AH$22,10,0)),"L2","FEHLER"))))</f>
        <v/>
      </c>
      <c r="K9" s="30"/>
      <c r="L9" s="31"/>
      <c r="M9" s="29" t="str">
        <f>IF(M8="","",IF(AND((M7+M6)&lt;=VLOOKUP(M8,$A$17:$AH$22,17,0),M7&lt;=VLOOKUP(M8,$A$17:$AH$22,8,0)),"Standard",IF(AND((M7+M6)&lt;=VLOOKUP(M8,$A$17:$AH$22,18,0),M7&lt;=VLOOKUP(M8,$A$17:$AH$22,9,0)),"L1",IF(AND((M7+M6)&lt;=VLOOKUP(M8,$A$17:$AH$22,19,0),M7&lt;=VLOOKUP(M8,$A$17:$AH$22,10,0)),"L2","FEHLER"))))</f>
        <v/>
      </c>
      <c r="N9" s="30"/>
      <c r="O9" s="31"/>
      <c r="P9" s="29" t="str">
        <f>IF(P8="","",IF(AND((P7+P6)&lt;=VLOOKUP(P8,$A$17:$AH$22,17,0),P7&lt;=VLOOKUP(P8,$A$17:$AH$22,8,0)),"Standard",IF(AND((P7+P6)&lt;=VLOOKUP(P8,$A$17:$AH$22,18,0),P7&lt;=VLOOKUP(P8,$A$17:$AH$22,9,0)),"L1",IF(AND((P7+P6)&lt;=VLOOKUP(P8,$A$17:$AH$22,19,0),P7&lt;=VLOOKUP(P8,$A$17:$AH$22,10,0)),"L2","FEHLER"))))</f>
        <v/>
      </c>
      <c r="Q9" s="30"/>
      <c r="R9" s="31"/>
    </row>
    <row r="13" spans="1:35" x14ac:dyDescent="0.25">
      <c r="A13" s="3" t="s">
        <v>47</v>
      </c>
      <c r="B13" s="2">
        <v>25.4</v>
      </c>
    </row>
    <row r="14" spans="1:35" x14ac:dyDescent="0.25">
      <c r="H14" s="13" t="s">
        <v>3</v>
      </c>
      <c r="I14" s="13"/>
      <c r="J14" s="13"/>
      <c r="K14" s="13" t="s">
        <v>2</v>
      </c>
      <c r="L14" s="13"/>
      <c r="M14" s="13"/>
      <c r="N14" s="13"/>
      <c r="O14" s="13" t="s">
        <v>4</v>
      </c>
      <c r="P14" s="13"/>
      <c r="Q14" s="13" t="s">
        <v>55</v>
      </c>
      <c r="R14" s="13"/>
      <c r="S14" s="13"/>
      <c r="T14" s="6"/>
      <c r="U14" s="7"/>
      <c r="V14" s="7"/>
      <c r="W14" s="18" t="s">
        <v>70</v>
      </c>
      <c r="X14" s="18"/>
      <c r="Y14" s="18"/>
      <c r="Z14" s="18"/>
      <c r="AA14" s="18"/>
      <c r="AB14" s="18"/>
      <c r="AC14" s="19" t="s">
        <v>69</v>
      </c>
      <c r="AD14" s="19"/>
      <c r="AE14" s="19"/>
      <c r="AF14" s="19"/>
      <c r="AG14" s="19"/>
      <c r="AH14" s="19"/>
    </row>
    <row r="15" spans="1:35" x14ac:dyDescent="0.25">
      <c r="B15" t="s">
        <v>19</v>
      </c>
      <c r="D15" t="s">
        <v>0</v>
      </c>
      <c r="F15" t="s">
        <v>1</v>
      </c>
      <c r="H15" s="13" t="s">
        <v>23</v>
      </c>
      <c r="I15" s="13"/>
      <c r="J15" s="13"/>
      <c r="K15" t="s">
        <v>22</v>
      </c>
      <c r="L15" s="13" t="s">
        <v>23</v>
      </c>
      <c r="M15" s="13"/>
      <c r="N15" s="13"/>
      <c r="O15" s="6"/>
      <c r="P15" s="6"/>
      <c r="Q15" s="13" t="s">
        <v>23</v>
      </c>
      <c r="R15" s="13"/>
      <c r="S15" s="13"/>
      <c r="T15" s="15" t="s">
        <v>66</v>
      </c>
      <c r="U15" s="15"/>
      <c r="V15" s="15"/>
      <c r="W15" t="s">
        <v>56</v>
      </c>
      <c r="X15" t="s">
        <v>23</v>
      </c>
      <c r="Y15" t="s">
        <v>10</v>
      </c>
      <c r="AA15" s="17" t="s">
        <v>11</v>
      </c>
      <c r="AB15" s="17"/>
      <c r="AC15" t="s">
        <v>56</v>
      </c>
      <c r="AE15" t="s">
        <v>10</v>
      </c>
      <c r="AG15" s="17" t="s">
        <v>11</v>
      </c>
      <c r="AH15" s="17"/>
    </row>
    <row r="16" spans="1:35" x14ac:dyDescent="0.25">
      <c r="A16" s="3" t="s">
        <v>13</v>
      </c>
      <c r="B16" t="s">
        <v>20</v>
      </c>
      <c r="C16" t="s">
        <v>21</v>
      </c>
      <c r="D16" t="s">
        <v>22</v>
      </c>
      <c r="E16" t="s">
        <v>23</v>
      </c>
      <c r="F16" t="s">
        <v>22</v>
      </c>
      <c r="G16" t="s">
        <v>23</v>
      </c>
      <c r="H16" t="s">
        <v>56</v>
      </c>
      <c r="I16" t="s">
        <v>10</v>
      </c>
      <c r="J16" t="s">
        <v>11</v>
      </c>
      <c r="L16" t="s">
        <v>56</v>
      </c>
      <c r="M16" t="s">
        <v>10</v>
      </c>
      <c r="N16" t="s">
        <v>11</v>
      </c>
      <c r="O16" t="s">
        <v>10</v>
      </c>
      <c r="P16" t="s">
        <v>11</v>
      </c>
      <c r="Q16" t="s">
        <v>56</v>
      </c>
      <c r="R16" t="s">
        <v>10</v>
      </c>
      <c r="S16" t="s">
        <v>11</v>
      </c>
      <c r="T16" s="16">
        <v>0.05</v>
      </c>
      <c r="U16" s="14" t="s">
        <v>22</v>
      </c>
      <c r="V16" s="14" t="s">
        <v>23</v>
      </c>
      <c r="W16" s="16">
        <v>0.05</v>
      </c>
      <c r="X16" s="16"/>
      <c r="Y16" s="16">
        <v>0.05</v>
      </c>
      <c r="Z16" s="16"/>
      <c r="AA16" s="16">
        <v>0.05</v>
      </c>
      <c r="AB16" s="16"/>
      <c r="AC16" s="16">
        <v>0.05</v>
      </c>
      <c r="AD16" s="16"/>
      <c r="AE16" s="16">
        <v>0.05</v>
      </c>
      <c r="AF16" s="16"/>
      <c r="AG16" s="16">
        <v>0.05</v>
      </c>
      <c r="AH16" s="16"/>
      <c r="AI16" t="s">
        <v>13</v>
      </c>
    </row>
    <row r="17" spans="1:35" x14ac:dyDescent="0.25">
      <c r="A17" t="s">
        <v>12</v>
      </c>
      <c r="B17" s="2">
        <v>0.4</v>
      </c>
      <c r="C17" s="2">
        <v>0.3</v>
      </c>
      <c r="D17" s="2">
        <v>108</v>
      </c>
      <c r="E17" s="2">
        <v>113</v>
      </c>
      <c r="F17" s="2">
        <v>123</v>
      </c>
      <c r="G17" s="2">
        <v>128</v>
      </c>
      <c r="H17" s="2">
        <v>65</v>
      </c>
      <c r="I17">
        <f>H17+O17</f>
        <v>77</v>
      </c>
      <c r="J17">
        <f>H17+P17</f>
        <v>87</v>
      </c>
      <c r="K17" s="2">
        <v>123</v>
      </c>
      <c r="L17" s="2">
        <v>135</v>
      </c>
      <c r="M17">
        <f>L17+O17</f>
        <v>147</v>
      </c>
      <c r="N17">
        <f>L17+P17</f>
        <v>157</v>
      </c>
      <c r="O17" s="2">
        <v>12</v>
      </c>
      <c r="P17" s="2">
        <v>22</v>
      </c>
      <c r="Q17">
        <f t="shared" ref="Q17:Q22" si="1">L17+H17</f>
        <v>200</v>
      </c>
      <c r="R17">
        <f>M17+H17</f>
        <v>212</v>
      </c>
      <c r="S17">
        <f>N17+H17</f>
        <v>222</v>
      </c>
      <c r="T17">
        <f>(E17-D17)*$T$16</f>
        <v>0.25</v>
      </c>
      <c r="U17">
        <f>D17+T17</f>
        <v>108.25</v>
      </c>
      <c r="V17">
        <f>+E17-T17</f>
        <v>112.75</v>
      </c>
      <c r="W17">
        <f>$W$16*H17</f>
        <v>3.25</v>
      </c>
      <c r="X17">
        <f>H17-W17</f>
        <v>61.75</v>
      </c>
      <c r="Y17">
        <f>$Y$16*I17</f>
        <v>3.85</v>
      </c>
      <c r="Z17">
        <f>I17-Y17</f>
        <v>73.150000000000006</v>
      </c>
      <c r="AA17">
        <f>$AA$16*J17</f>
        <v>4.3500000000000005</v>
      </c>
      <c r="AB17">
        <f>J17-AA17</f>
        <v>82.65</v>
      </c>
      <c r="AC17">
        <f>$AC$16*Q17</f>
        <v>10</v>
      </c>
      <c r="AD17">
        <f>Q17-AC17</f>
        <v>190</v>
      </c>
      <c r="AE17">
        <f>$AE$16*R17</f>
        <v>10.600000000000001</v>
      </c>
      <c r="AF17">
        <f>R17-AE17</f>
        <v>201.4</v>
      </c>
      <c r="AG17">
        <f>$AG$16*S17</f>
        <v>11.100000000000001</v>
      </c>
      <c r="AH17">
        <f>S17-AG17</f>
        <v>210.9</v>
      </c>
      <c r="AI17" t="str">
        <f t="shared" ref="AI17:AI22" si="2">A17</f>
        <v>SG3</v>
      </c>
    </row>
    <row r="18" spans="1:35" x14ac:dyDescent="0.25">
      <c r="A18" t="s">
        <v>14</v>
      </c>
      <c r="B18" s="2">
        <v>0.5</v>
      </c>
      <c r="C18" s="2">
        <v>0.4</v>
      </c>
      <c r="D18" s="2">
        <v>114</v>
      </c>
      <c r="E18" s="2">
        <v>120</v>
      </c>
      <c r="F18" s="2">
        <v>130</v>
      </c>
      <c r="G18" s="2">
        <v>135</v>
      </c>
      <c r="H18" s="2">
        <v>70</v>
      </c>
      <c r="I18">
        <f t="shared" ref="I18:I22" si="3">H18+O18</f>
        <v>82</v>
      </c>
      <c r="J18">
        <f t="shared" ref="J18:J22" si="4">H18+P18</f>
        <v>92</v>
      </c>
      <c r="K18" s="2">
        <v>130</v>
      </c>
      <c r="L18" s="2">
        <v>142</v>
      </c>
      <c r="M18">
        <f t="shared" ref="M18:M22" si="5">L18+O18</f>
        <v>154</v>
      </c>
      <c r="N18">
        <f t="shared" ref="N18:N22" si="6">L18+P18</f>
        <v>164</v>
      </c>
      <c r="O18" s="2">
        <v>12</v>
      </c>
      <c r="P18" s="2">
        <v>22</v>
      </c>
      <c r="Q18">
        <f t="shared" si="1"/>
        <v>212</v>
      </c>
      <c r="R18">
        <f t="shared" ref="R18:R22" si="7">M18+H18</f>
        <v>224</v>
      </c>
      <c r="S18">
        <f t="shared" ref="S18:S22" si="8">N18+H18</f>
        <v>234</v>
      </c>
      <c r="T18">
        <f t="shared" ref="T18:T22" si="9">(E18-D18)*$T$16</f>
        <v>0.30000000000000004</v>
      </c>
      <c r="U18">
        <f t="shared" ref="U18:U22" si="10">D18+T18</f>
        <v>114.3</v>
      </c>
      <c r="V18">
        <f t="shared" ref="V18:V22" si="11">+E18-T18</f>
        <v>119.7</v>
      </c>
      <c r="W18">
        <f t="shared" ref="W18:W22" si="12">$W$16*H18</f>
        <v>3.5</v>
      </c>
      <c r="X18">
        <f t="shared" ref="X18:X22" si="13">H18-W18</f>
        <v>66.5</v>
      </c>
      <c r="Y18">
        <f t="shared" ref="Y18:Y22" si="14">$Y$16*I18</f>
        <v>4.1000000000000005</v>
      </c>
      <c r="Z18">
        <f t="shared" ref="Z18:Z22" si="15">I18-Y18</f>
        <v>77.900000000000006</v>
      </c>
      <c r="AA18">
        <f t="shared" ref="AA18:AA22" si="16">$AA$16*J18</f>
        <v>4.6000000000000005</v>
      </c>
      <c r="AB18">
        <f t="shared" ref="AB18:AB22" si="17">J18-AA18</f>
        <v>87.4</v>
      </c>
      <c r="AC18">
        <f t="shared" ref="AC18:AC22" si="18">$AC$16*Q18</f>
        <v>10.600000000000001</v>
      </c>
      <c r="AD18">
        <f t="shared" ref="AD18:AD22" si="19">Q18-AC18</f>
        <v>201.4</v>
      </c>
      <c r="AE18">
        <f t="shared" ref="AE18:AE22" si="20">$AE$16*R18</f>
        <v>11.200000000000001</v>
      </c>
      <c r="AF18">
        <f t="shared" ref="AF18:AF22" si="21">R18-AE18</f>
        <v>212.8</v>
      </c>
      <c r="AG18">
        <f t="shared" ref="AG18:AG22" si="22">$AG$16*S18</f>
        <v>11.700000000000001</v>
      </c>
      <c r="AH18">
        <f t="shared" ref="AH18:AH22" si="23">S18-AG18</f>
        <v>222.3</v>
      </c>
      <c r="AI18" t="str">
        <f t="shared" si="2"/>
        <v>SG4</v>
      </c>
    </row>
    <row r="19" spans="1:35" x14ac:dyDescent="0.25">
      <c r="A19" t="s">
        <v>15</v>
      </c>
      <c r="B19" s="2">
        <v>0.5</v>
      </c>
      <c r="C19" s="2">
        <v>0.4</v>
      </c>
      <c r="D19" s="2">
        <v>121</v>
      </c>
      <c r="E19" s="2">
        <v>127</v>
      </c>
      <c r="F19" s="2">
        <v>137</v>
      </c>
      <c r="G19" s="2">
        <v>142</v>
      </c>
      <c r="H19" s="2">
        <v>75</v>
      </c>
      <c r="I19">
        <f t="shared" si="3"/>
        <v>87</v>
      </c>
      <c r="J19">
        <f t="shared" si="4"/>
        <v>97</v>
      </c>
      <c r="K19" s="2">
        <v>137</v>
      </c>
      <c r="L19" s="2">
        <v>149</v>
      </c>
      <c r="M19">
        <f t="shared" si="5"/>
        <v>161</v>
      </c>
      <c r="N19">
        <f t="shared" si="6"/>
        <v>171</v>
      </c>
      <c r="O19" s="2">
        <v>12</v>
      </c>
      <c r="P19" s="2">
        <v>22</v>
      </c>
      <c r="Q19">
        <f t="shared" si="1"/>
        <v>224</v>
      </c>
      <c r="R19">
        <f t="shared" si="7"/>
        <v>236</v>
      </c>
      <c r="S19">
        <f t="shared" si="8"/>
        <v>246</v>
      </c>
      <c r="T19">
        <f t="shared" si="9"/>
        <v>0.30000000000000004</v>
      </c>
      <c r="U19">
        <f t="shared" si="10"/>
        <v>121.3</v>
      </c>
      <c r="V19">
        <f t="shared" si="11"/>
        <v>126.7</v>
      </c>
      <c r="W19">
        <f t="shared" si="12"/>
        <v>3.75</v>
      </c>
      <c r="X19">
        <f t="shared" si="13"/>
        <v>71.25</v>
      </c>
      <c r="Y19">
        <f t="shared" si="14"/>
        <v>4.3500000000000005</v>
      </c>
      <c r="Z19">
        <f t="shared" si="15"/>
        <v>82.65</v>
      </c>
      <c r="AA19">
        <f t="shared" si="16"/>
        <v>4.8500000000000005</v>
      </c>
      <c r="AB19">
        <f t="shared" si="17"/>
        <v>92.15</v>
      </c>
      <c r="AC19">
        <f t="shared" si="18"/>
        <v>11.200000000000001</v>
      </c>
      <c r="AD19">
        <f t="shared" si="19"/>
        <v>212.8</v>
      </c>
      <c r="AE19">
        <f t="shared" si="20"/>
        <v>11.8</v>
      </c>
      <c r="AF19">
        <f t="shared" si="21"/>
        <v>224.2</v>
      </c>
      <c r="AG19">
        <f t="shared" si="22"/>
        <v>12.3</v>
      </c>
      <c r="AH19">
        <f t="shared" si="23"/>
        <v>233.7</v>
      </c>
      <c r="AI19" t="str">
        <f t="shared" si="2"/>
        <v>SG5</v>
      </c>
    </row>
    <row r="20" spans="1:35" x14ac:dyDescent="0.25">
      <c r="A20" t="s">
        <v>16</v>
      </c>
      <c r="B20" s="2">
        <v>0.6</v>
      </c>
      <c r="C20" s="2">
        <v>0.5</v>
      </c>
      <c r="D20" s="2">
        <v>128</v>
      </c>
      <c r="E20" s="2">
        <v>135</v>
      </c>
      <c r="F20" s="2">
        <v>143</v>
      </c>
      <c r="G20" s="2">
        <v>151</v>
      </c>
      <c r="H20" s="2">
        <v>85</v>
      </c>
      <c r="I20">
        <f t="shared" si="3"/>
        <v>97</v>
      </c>
      <c r="J20">
        <f t="shared" si="4"/>
        <v>107</v>
      </c>
      <c r="K20" s="2">
        <v>143</v>
      </c>
      <c r="L20" s="2">
        <v>163</v>
      </c>
      <c r="M20">
        <f t="shared" si="5"/>
        <v>175</v>
      </c>
      <c r="N20">
        <f t="shared" si="6"/>
        <v>185</v>
      </c>
      <c r="O20" s="2">
        <v>12</v>
      </c>
      <c r="P20" s="2">
        <v>22</v>
      </c>
      <c r="Q20">
        <f t="shared" si="1"/>
        <v>248</v>
      </c>
      <c r="R20">
        <f t="shared" si="7"/>
        <v>260</v>
      </c>
      <c r="S20">
        <f t="shared" si="8"/>
        <v>270</v>
      </c>
      <c r="T20">
        <f t="shared" si="9"/>
        <v>0.35000000000000003</v>
      </c>
      <c r="U20">
        <f t="shared" si="10"/>
        <v>128.35</v>
      </c>
      <c r="V20">
        <f t="shared" si="11"/>
        <v>134.65</v>
      </c>
      <c r="W20">
        <f t="shared" si="12"/>
        <v>4.25</v>
      </c>
      <c r="X20">
        <f t="shared" si="13"/>
        <v>80.75</v>
      </c>
      <c r="Y20">
        <f t="shared" si="14"/>
        <v>4.8500000000000005</v>
      </c>
      <c r="Z20">
        <f t="shared" si="15"/>
        <v>92.15</v>
      </c>
      <c r="AA20">
        <f t="shared" si="16"/>
        <v>5.3500000000000005</v>
      </c>
      <c r="AB20">
        <f t="shared" si="17"/>
        <v>101.65</v>
      </c>
      <c r="AC20">
        <f t="shared" si="18"/>
        <v>12.4</v>
      </c>
      <c r="AD20">
        <f t="shared" si="19"/>
        <v>235.6</v>
      </c>
      <c r="AE20">
        <f t="shared" si="20"/>
        <v>13</v>
      </c>
      <c r="AF20">
        <f t="shared" si="21"/>
        <v>247</v>
      </c>
      <c r="AG20">
        <f t="shared" si="22"/>
        <v>13.5</v>
      </c>
      <c r="AH20">
        <f t="shared" si="23"/>
        <v>256.5</v>
      </c>
      <c r="AI20" t="str">
        <f t="shared" si="2"/>
        <v>SG6</v>
      </c>
    </row>
    <row r="21" spans="1:35" x14ac:dyDescent="0.25">
      <c r="A21" t="s">
        <v>17</v>
      </c>
      <c r="B21" s="2">
        <v>0.6</v>
      </c>
      <c r="C21" s="2">
        <v>0.5</v>
      </c>
      <c r="D21" s="2">
        <v>136</v>
      </c>
      <c r="E21" s="2">
        <v>144</v>
      </c>
      <c r="F21" s="2">
        <v>156</v>
      </c>
      <c r="G21" s="2">
        <v>164</v>
      </c>
      <c r="H21" s="2">
        <v>90</v>
      </c>
      <c r="I21">
        <f t="shared" si="3"/>
        <v>112</v>
      </c>
      <c r="J21">
        <f t="shared" si="4"/>
        <v>122</v>
      </c>
      <c r="K21" s="2">
        <v>156</v>
      </c>
      <c r="L21" s="2">
        <v>174</v>
      </c>
      <c r="M21">
        <f t="shared" si="5"/>
        <v>196</v>
      </c>
      <c r="N21">
        <f t="shared" si="6"/>
        <v>206</v>
      </c>
      <c r="O21" s="2">
        <v>22</v>
      </c>
      <c r="P21" s="2">
        <v>32</v>
      </c>
      <c r="Q21">
        <f t="shared" si="1"/>
        <v>264</v>
      </c>
      <c r="R21">
        <f t="shared" si="7"/>
        <v>286</v>
      </c>
      <c r="S21">
        <f t="shared" si="8"/>
        <v>296</v>
      </c>
      <c r="T21">
        <f t="shared" si="9"/>
        <v>0.4</v>
      </c>
      <c r="U21">
        <f t="shared" si="10"/>
        <v>136.4</v>
      </c>
      <c r="V21">
        <f t="shared" si="11"/>
        <v>143.6</v>
      </c>
      <c r="W21">
        <f t="shared" si="12"/>
        <v>4.5</v>
      </c>
      <c r="X21">
        <f t="shared" si="13"/>
        <v>85.5</v>
      </c>
      <c r="Y21">
        <f t="shared" si="14"/>
        <v>5.6000000000000005</v>
      </c>
      <c r="Z21">
        <f t="shared" si="15"/>
        <v>106.4</v>
      </c>
      <c r="AA21">
        <f t="shared" si="16"/>
        <v>6.1000000000000005</v>
      </c>
      <c r="AB21">
        <f t="shared" si="17"/>
        <v>115.9</v>
      </c>
      <c r="AC21">
        <f t="shared" si="18"/>
        <v>13.200000000000001</v>
      </c>
      <c r="AD21">
        <f t="shared" si="19"/>
        <v>250.8</v>
      </c>
      <c r="AE21">
        <f t="shared" si="20"/>
        <v>14.3</v>
      </c>
      <c r="AF21">
        <f t="shared" si="21"/>
        <v>271.7</v>
      </c>
      <c r="AG21">
        <f t="shared" si="22"/>
        <v>14.8</v>
      </c>
      <c r="AH21">
        <f t="shared" si="23"/>
        <v>281.2</v>
      </c>
      <c r="AI21" t="str">
        <f t="shared" si="2"/>
        <v>SG7</v>
      </c>
    </row>
    <row r="22" spans="1:35" x14ac:dyDescent="0.25">
      <c r="A22" t="s">
        <v>18</v>
      </c>
      <c r="B22" s="2">
        <v>0.65</v>
      </c>
      <c r="C22" s="2">
        <v>0.55000000000000004</v>
      </c>
      <c r="D22" s="2">
        <v>145</v>
      </c>
      <c r="E22" s="2">
        <v>155</v>
      </c>
      <c r="F22" s="2">
        <v>165</v>
      </c>
      <c r="G22" s="2">
        <v>173</v>
      </c>
      <c r="H22" s="2">
        <v>95</v>
      </c>
      <c r="I22">
        <f t="shared" si="3"/>
        <v>117</v>
      </c>
      <c r="J22">
        <f t="shared" si="4"/>
        <v>127</v>
      </c>
      <c r="K22" s="2">
        <v>165</v>
      </c>
      <c r="L22" s="2">
        <v>185</v>
      </c>
      <c r="M22">
        <f t="shared" si="5"/>
        <v>207</v>
      </c>
      <c r="N22">
        <f t="shared" si="6"/>
        <v>217</v>
      </c>
      <c r="O22" s="2">
        <v>22</v>
      </c>
      <c r="P22" s="2">
        <v>32</v>
      </c>
      <c r="Q22">
        <f t="shared" si="1"/>
        <v>280</v>
      </c>
      <c r="R22">
        <f t="shared" si="7"/>
        <v>302</v>
      </c>
      <c r="S22">
        <f t="shared" si="8"/>
        <v>312</v>
      </c>
      <c r="T22">
        <f t="shared" si="9"/>
        <v>0.5</v>
      </c>
      <c r="U22">
        <f t="shared" si="10"/>
        <v>145.5</v>
      </c>
      <c r="V22">
        <f t="shared" si="11"/>
        <v>154.5</v>
      </c>
      <c r="W22">
        <f t="shared" si="12"/>
        <v>4.75</v>
      </c>
      <c r="X22">
        <f t="shared" si="13"/>
        <v>90.25</v>
      </c>
      <c r="Y22">
        <f t="shared" si="14"/>
        <v>5.8500000000000005</v>
      </c>
      <c r="Z22">
        <f t="shared" si="15"/>
        <v>111.15</v>
      </c>
      <c r="AA22">
        <f t="shared" si="16"/>
        <v>6.3500000000000005</v>
      </c>
      <c r="AB22">
        <f t="shared" si="17"/>
        <v>120.65</v>
      </c>
      <c r="AC22">
        <f t="shared" si="18"/>
        <v>14</v>
      </c>
      <c r="AD22">
        <f t="shared" si="19"/>
        <v>266</v>
      </c>
      <c r="AE22">
        <f t="shared" si="20"/>
        <v>15.100000000000001</v>
      </c>
      <c r="AF22">
        <f t="shared" si="21"/>
        <v>286.89999999999998</v>
      </c>
      <c r="AG22">
        <f t="shared" si="22"/>
        <v>15.600000000000001</v>
      </c>
      <c r="AH22">
        <f t="shared" si="23"/>
        <v>296.39999999999998</v>
      </c>
      <c r="AI22" t="str">
        <f t="shared" si="2"/>
        <v>SG8</v>
      </c>
    </row>
    <row r="24" spans="1:35" x14ac:dyDescent="0.25">
      <c r="A24" s="3" t="s">
        <v>27</v>
      </c>
      <c r="B24" t="s">
        <v>22</v>
      </c>
      <c r="C24" t="s">
        <v>23</v>
      </c>
    </row>
    <row r="25" spans="1:35" x14ac:dyDescent="0.25">
      <c r="A25" s="3" t="s">
        <v>26</v>
      </c>
      <c r="B25">
        <f>MIN(B17:B22)</f>
        <v>0.4</v>
      </c>
      <c r="C25">
        <f>MAX(B17:B22)</f>
        <v>0.65</v>
      </c>
    </row>
    <row r="27" spans="1:35" x14ac:dyDescent="0.25">
      <c r="B27" t="s">
        <v>32</v>
      </c>
      <c r="C27" t="s">
        <v>33</v>
      </c>
      <c r="D27" t="s">
        <v>34</v>
      </c>
      <c r="E27" t="s">
        <v>35</v>
      </c>
      <c r="F27" t="s">
        <v>36</v>
      </c>
    </row>
    <row r="28" spans="1:35" x14ac:dyDescent="0.25">
      <c r="A28" t="s">
        <v>28</v>
      </c>
      <c r="B28">
        <f>B4-(Erfassung!B23*Parameter!C25)</f>
        <v>0</v>
      </c>
      <c r="C28">
        <f>Erfassung!B19-(Erfassung!B23*Parameter!B25)</f>
        <v>0</v>
      </c>
      <c r="D28" t="str">
        <f>IF(AND($B28&gt;=$D$17,$B28&lt;=$E$17),$A$17,IF(AND($B28&gt;=$D$18,$B28&lt;=$E$18),$A$18,IF(AND($B28&gt;=$D$19,$B28&lt;=$E$19),$A$19,IF(AND($B28&gt;=$D$20,$B28&lt;=$E$20),$A$20,IF(AND($B28&gt;=$D$21,$B28&lt;=$E$21),$A$21,IF(AND($B28&gt;=$D$22,$B28&lt;=$E$22),$A$22,"Übergrösse N/A"))))))</f>
        <v>Übergrösse N/A</v>
      </c>
      <c r="E28" t="str">
        <f>IF(AND($B28&gt;=$D$17,$B28&lt;=$E$17),$A$17,IF(AND($B28&gt;=$D$18,$B28&lt;=$E$18),$A$18,IF(AND($B28&gt;=$D$19,$B28&lt;=$E$19),$A$19,IF(AND($B28&gt;=$D$20,$B28&lt;=$E$20),$A$20,IF(AND($B28&gt;=$D$21,$B28&lt;=$E$21),$A$21,IF(AND($B28&gt;=$D$22,$B28&lt;=$E$22),$A$22,"Übergrösse N/A"))))))</f>
        <v>Übergrösse N/A</v>
      </c>
      <c r="F28" t="str">
        <f>IF(Erfassung!B19="","",IF(E28=D28,D28,Texte!$A$26))</f>
        <v/>
      </c>
    </row>
    <row r="29" spans="1:35" x14ac:dyDescent="0.25">
      <c r="A29" t="s">
        <v>29</v>
      </c>
      <c r="B29">
        <f>C4-(Erfassung!B23*Parameter!C25)</f>
        <v>0</v>
      </c>
      <c r="C29">
        <f>Erfassung!C19-(Erfassung!B23*Parameter!B25)</f>
        <v>0</v>
      </c>
      <c r="D29" t="str">
        <f t="shared" ref="D29:E31" si="24">IF(AND($B29&gt;=$D$17,$B29&lt;=$E$17),$A$17,IF(AND($B29&gt;=$D$18,$B29&lt;=$E$18),$A$18,IF(AND($B29&gt;=$D$19,$B29&lt;=$E$19),$A$19,IF(AND($B29&gt;=$D$20,$B29&lt;=$E$20),$A$20,IF(AND($B29&gt;=$D$21,$B29&lt;=$E$21),$A$21,IF(AND($B29&gt;=$D$22,$B29&lt;=$E$22),$A$22,"Übergrösse N/A"))))))</f>
        <v>Übergrösse N/A</v>
      </c>
      <c r="E29" t="str">
        <f t="shared" si="24"/>
        <v>Übergrösse N/A</v>
      </c>
      <c r="F29" t="str">
        <f>IF(Erfassung!B20="","",IF(E29=D29,D29,Texte!$A$26))</f>
        <v/>
      </c>
    </row>
    <row r="30" spans="1:35" x14ac:dyDescent="0.25">
      <c r="A30" t="s">
        <v>30</v>
      </c>
      <c r="B30">
        <f>D4-(Erfassung!B23*Parameter!C25)</f>
        <v>0</v>
      </c>
      <c r="C30">
        <f>Erfassung!D19-(Erfassung!B23*Parameter!B25)</f>
        <v>0</v>
      </c>
      <c r="D30" t="str">
        <f t="shared" si="24"/>
        <v>Übergrösse N/A</v>
      </c>
      <c r="E30" t="str">
        <f t="shared" si="24"/>
        <v>Übergrösse N/A</v>
      </c>
      <c r="F30" t="str">
        <f>IF(Erfassung!B21="","",IF(E30=D30,D30,Texte!$A$26))</f>
        <v/>
      </c>
    </row>
    <row r="31" spans="1:35" x14ac:dyDescent="0.25">
      <c r="A31" t="s">
        <v>31</v>
      </c>
      <c r="B31">
        <f>E4-(Erfassung!B23*Parameter!C25)</f>
        <v>0</v>
      </c>
      <c r="C31">
        <f>Erfassung!E19-(Erfassung!B23*Parameter!B25)</f>
        <v>0</v>
      </c>
      <c r="D31" t="str">
        <f t="shared" si="24"/>
        <v>Übergrösse N/A</v>
      </c>
      <c r="E31" t="str">
        <f t="shared" si="24"/>
        <v>Übergrösse N/A</v>
      </c>
      <c r="F31" t="str">
        <f>IF(Erfassung!B22="","",IF(E31=D31,D31,Texte!$A$26))</f>
        <v/>
      </c>
    </row>
    <row r="33" spans="1:2" x14ac:dyDescent="0.25">
      <c r="A33" t="s">
        <v>38</v>
      </c>
      <c r="B33" s="2">
        <v>4</v>
      </c>
    </row>
  </sheetData>
  <mergeCells count="11">
    <mergeCell ref="H2:I2"/>
    <mergeCell ref="K2:L2"/>
    <mergeCell ref="N2:O2"/>
    <mergeCell ref="Q2:R2"/>
    <mergeCell ref="Q14:S14"/>
    <mergeCell ref="H14:J14"/>
    <mergeCell ref="H15:J15"/>
    <mergeCell ref="L15:N15"/>
    <mergeCell ref="K14:N14"/>
    <mergeCell ref="O14:P14"/>
    <mergeCell ref="Q15:S15"/>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8606-E36F-4A8A-A380-496FB1B4B135}">
  <dimension ref="A2:D41"/>
  <sheetViews>
    <sheetView topLeftCell="A13" workbookViewId="0">
      <selection activeCell="A7" sqref="A7"/>
    </sheetView>
  </sheetViews>
  <sheetFormatPr baseColWidth="10" defaultRowHeight="15" x14ac:dyDescent="0.25"/>
  <cols>
    <col min="1" max="1" width="41.7109375" customWidth="1"/>
    <col min="2" max="2" width="36.85546875" bestFit="1" customWidth="1"/>
    <col min="3" max="4" width="30.140625" customWidth="1"/>
  </cols>
  <sheetData>
    <row r="2" spans="1:4" x14ac:dyDescent="0.25">
      <c r="A2" t="s">
        <v>39</v>
      </c>
      <c r="B2" s="2" t="s">
        <v>40</v>
      </c>
    </row>
    <row r="3" spans="1:4" x14ac:dyDescent="0.25">
      <c r="B3" s="2" t="s">
        <v>41</v>
      </c>
    </row>
    <row r="4" spans="1:4" x14ac:dyDescent="0.25">
      <c r="B4" s="2" t="s">
        <v>49</v>
      </c>
    </row>
    <row r="9" spans="1:4" x14ac:dyDescent="0.25">
      <c r="A9" t="s">
        <v>44</v>
      </c>
      <c r="B9" s="2" t="s">
        <v>45</v>
      </c>
    </row>
    <row r="10" spans="1:4" x14ac:dyDescent="0.25">
      <c r="B10" s="2" t="s">
        <v>46</v>
      </c>
    </row>
    <row r="12" spans="1:4" x14ac:dyDescent="0.25">
      <c r="A12" s="3" t="s">
        <v>53</v>
      </c>
      <c r="B12" s="3" t="s">
        <v>40</v>
      </c>
      <c r="C12" s="3" t="s">
        <v>41</v>
      </c>
      <c r="D12" s="3" t="s">
        <v>49</v>
      </c>
    </row>
    <row r="13" spans="1:4" x14ac:dyDescent="0.25">
      <c r="A13" t="str">
        <f>IF(Erfassung!$B$14=Texte!$B$3,$C13,IF(Erfassung!$B$14=Texte!$B$4,$D13,$B13))</f>
        <v>Erfassung in</v>
      </c>
      <c r="B13" s="5" t="s">
        <v>42</v>
      </c>
      <c r="C13" s="5" t="s">
        <v>43</v>
      </c>
      <c r="D13" s="5" t="s">
        <v>52</v>
      </c>
    </row>
    <row r="14" spans="1:4" x14ac:dyDescent="0.25">
      <c r="A14" t="str">
        <f>IF(Erfassung!$B$14=Texte!$B$3,$C14,IF(Erfassung!$B$14=Texte!$B$4,$D14,$B14))</f>
        <v>Hufbreite</v>
      </c>
      <c r="B14" s="2" t="s">
        <v>0</v>
      </c>
      <c r="C14" s="5"/>
      <c r="D14" s="5"/>
    </row>
    <row r="15" spans="1:4" x14ac:dyDescent="0.25">
      <c r="A15" t="str">
        <f>IF(Erfassung!$B$14=Texte!$B$3,$C15,IF(Erfassung!$B$14=Texte!$B$4,$D15,$B15))</f>
        <v>Huflänge</v>
      </c>
      <c r="B15" s="2" t="s">
        <v>1</v>
      </c>
      <c r="C15" s="5"/>
      <c r="D15" s="5"/>
    </row>
    <row r="16" spans="1:4" x14ac:dyDescent="0.25">
      <c r="A16" t="str">
        <f>IF(Erfassung!$B$14=Texte!$B$3,$C16,IF(Erfassung!$B$14=Texte!$B$4,$D16,$B16))</f>
        <v>Ballenlänge</v>
      </c>
      <c r="B16" s="2" t="s">
        <v>2</v>
      </c>
      <c r="C16" s="5"/>
      <c r="D16" s="5"/>
    </row>
    <row r="17" spans="1:4" x14ac:dyDescent="0.25">
      <c r="A17" t="str">
        <f>IF(Erfassung!$B$14=Texte!$B$3,$C17,IF(Erfassung!$B$14=Texte!$B$4,$D17,$B17))</f>
        <v>Ballenhöhe</v>
      </c>
      <c r="B17" s="2" t="s">
        <v>3</v>
      </c>
      <c r="C17" s="5"/>
      <c r="D17" s="5"/>
    </row>
    <row r="18" spans="1:4" x14ac:dyDescent="0.25">
      <c r="A18" t="str">
        <f>IF(Erfassung!$B$14=Texte!$B$3,$C18,IF(Erfassung!$B$14=Texte!$B$4,$D18,$B18))</f>
        <v>letzte Hufbearbeitung (Anzahl Wochen)</v>
      </c>
      <c r="B18" s="2" t="s">
        <v>25</v>
      </c>
      <c r="C18" s="5"/>
      <c r="D18" s="5"/>
    </row>
    <row r="19" spans="1:4" x14ac:dyDescent="0.25">
      <c r="A19" t="str">
        <f>IF(Erfassung!$B$14=Texte!$B$3,$C19,IF(Erfassung!$B$14=Texte!$B$4,$D19,$B19))</f>
        <v>Grössenbestimmung</v>
      </c>
      <c r="B19" s="2" t="s">
        <v>24</v>
      </c>
      <c r="C19" s="5"/>
      <c r="D19" s="5"/>
    </row>
    <row r="20" spans="1:4" x14ac:dyDescent="0.25">
      <c r="A20" t="str">
        <f>IF(Erfassung!$B$14=Texte!$B$3,$C20,IF(Erfassung!$B$14=Texte!$B$4,$D20,$B20))</f>
        <v>zu verwendender Typ</v>
      </c>
      <c r="B20" s="2" t="s">
        <v>9</v>
      </c>
      <c r="C20" s="5"/>
      <c r="D20" s="5"/>
    </row>
    <row r="21" spans="1:4" x14ac:dyDescent="0.25">
      <c r="A21" t="str">
        <f>IF(Erfassung!$B$14=Texte!$B$3,$C21,IF(Erfassung!$B$14=Texte!$B$4,$D21,$B21))</f>
        <v>Bemerkung:</v>
      </c>
      <c r="B21" s="5" t="s">
        <v>37</v>
      </c>
      <c r="C21" s="5"/>
      <c r="D21" s="5"/>
    </row>
    <row r="22" spans="1:4" x14ac:dyDescent="0.25">
      <c r="A22" t="str">
        <f>IF(Erfassung!$B$14=Texte!$B$3,$C22,IF(Erfassung!$B$14=Texte!$B$4,$D22,$B22))</f>
        <v>Vorne links</v>
      </c>
      <c r="B22" s="2" t="s">
        <v>5</v>
      </c>
      <c r="C22" s="5"/>
      <c r="D22" s="5"/>
    </row>
    <row r="23" spans="1:4" x14ac:dyDescent="0.25">
      <c r="A23" t="str">
        <f>IF(Erfassung!$B$14=Texte!$B$3,$C23,IF(Erfassung!$B$14=Texte!$B$4,$D23,$B23))</f>
        <v>Vorne rechts</v>
      </c>
      <c r="B23" s="2" t="s">
        <v>6</v>
      </c>
      <c r="C23" s="5"/>
      <c r="D23" s="5"/>
    </row>
    <row r="24" spans="1:4" x14ac:dyDescent="0.25">
      <c r="A24" t="str">
        <f>IF(Erfassung!$B$14=Texte!$B$3,$C24,IF(Erfassung!$B$14=Texte!$B$4,$D24,$B24))</f>
        <v>Hinten links</v>
      </c>
      <c r="B24" s="2" t="s">
        <v>7</v>
      </c>
      <c r="C24" s="5"/>
      <c r="D24" s="5"/>
    </row>
    <row r="25" spans="1:4" x14ac:dyDescent="0.25">
      <c r="A25" t="str">
        <f>IF(Erfassung!$B$14=Texte!$B$3,$C25,IF(Erfassung!$B$14=Texte!$B$4,$D25,$B25))</f>
        <v>Hinten rechts</v>
      </c>
      <c r="B25" s="2" t="s">
        <v>8</v>
      </c>
      <c r="C25" s="5"/>
      <c r="D25" s="5"/>
    </row>
    <row r="26" spans="1:4" x14ac:dyDescent="0.25">
      <c r="A26" t="str">
        <f>IF(Erfassung!$B$14=Texte!$B$3,$C26,IF(Erfassung!$B$14=Texte!$B$4,$D26,$B26))</f>
        <v>Grösse nicht eindeutig</v>
      </c>
      <c r="B26" s="5" t="s">
        <v>54</v>
      </c>
      <c r="C26" s="5"/>
      <c r="D26" s="5"/>
    </row>
    <row r="27" spans="1:4" ht="90" x14ac:dyDescent="0.25">
      <c r="A27" s="4" t="str">
        <f>IF(Erfassung!$B$14=Texte!$B$3,$C27,IF(Erfassung!$B$14=Texte!$B$4,$D27,$B27))</f>
        <v>Da die letzte Hufbearbeitung mehr als 4 Wochen zurück liegt, kann die Berechnung stark abweichen. Daher empfehlen wir Ihnen die nächste Hufbearbeitung abzuwarten und direkt danach erneut zu messen</v>
      </c>
      <c r="B27" s="5" t="s">
        <v>51</v>
      </c>
      <c r="C27" s="5"/>
      <c r="D27" s="5"/>
    </row>
    <row r="28" spans="1:4" ht="60" x14ac:dyDescent="0.25">
      <c r="A28" s="4" t="str">
        <f>IF(Erfassung!$B$14=Texte!$B$3,$C28,IF(Erfassung!$B$14=Texte!$B$4,$D28,$B28))</f>
        <v>Die Grössenbestimmung ist nicht eindeutig, bitte erfassen Sie die Masse direkt nach der Hufbearbeitung oder wenden Sie sich an SwissGaloppers</v>
      </c>
      <c r="B28" s="5" t="s">
        <v>64</v>
      </c>
      <c r="C28" s="5"/>
      <c r="D28" s="5"/>
    </row>
    <row r="29" spans="1:4" ht="120" x14ac:dyDescent="0.25">
      <c r="A29" s="4" t="str">
        <f>IF(Erfassung!$B$14=Texte!$B$3,$C29,IF(Erfassung!$B$14=Texte!$B$4,$D29,$B29))</f>
        <v>Bitte beachten Sie, dass die Hufbreite im oberen Bereich liegt. Durch den Hufwachstum kann sich die Hufbreite so vergrössert haben, dass der Huf nicht mehr in die Hufschuhe passt. Wir empfehlen mit einer Feile oder Raspel die Breite anzupassen, damit der Schuh gut sitzt</v>
      </c>
      <c r="B29" s="5" t="s">
        <v>65</v>
      </c>
      <c r="C29" s="5"/>
      <c r="D29" s="5"/>
    </row>
    <row r="30" spans="1:4" x14ac:dyDescent="0.25">
      <c r="A30" s="4" t="str">
        <f>IF(Erfassung!$B$14=Texte!$B$3,$C30,IF(Erfassung!$B$14=Texte!$B$4,$D30,$B30))</f>
        <v>Text Toleranz Ballenhöhe</v>
      </c>
      <c r="B30" s="5" t="s">
        <v>75</v>
      </c>
      <c r="C30" s="5"/>
      <c r="D30" s="5"/>
    </row>
    <row r="31" spans="1:4" x14ac:dyDescent="0.25">
      <c r="A31" s="4" t="str">
        <f>IF(Erfassung!$B$14=Texte!$B$3,$C31,IF(Erfassung!$B$14=Texte!$B$4,$D31,$B31))</f>
        <v>Text Toleranz Ballenhöhe / Ballenlänge</v>
      </c>
      <c r="B31" s="5" t="s">
        <v>76</v>
      </c>
      <c r="C31" s="5"/>
      <c r="D31" s="5"/>
    </row>
    <row r="32" spans="1:4" x14ac:dyDescent="0.25">
      <c r="A32" s="4"/>
      <c r="B32" s="4"/>
      <c r="C32" s="4"/>
      <c r="D32" s="4"/>
    </row>
    <row r="33" spans="1:4" x14ac:dyDescent="0.25">
      <c r="A33" s="4"/>
      <c r="B33" s="4"/>
      <c r="C33" s="4"/>
      <c r="D33" s="4"/>
    </row>
    <row r="34" spans="1:4" x14ac:dyDescent="0.25">
      <c r="A34" s="4"/>
      <c r="B34" s="4"/>
      <c r="C34" s="4"/>
      <c r="D34" s="4"/>
    </row>
    <row r="35" spans="1:4" x14ac:dyDescent="0.25">
      <c r="A35" s="4"/>
      <c r="B35" s="4"/>
      <c r="C35" s="4"/>
      <c r="D35" s="4"/>
    </row>
    <row r="36" spans="1:4" x14ac:dyDescent="0.25">
      <c r="A36" s="4"/>
      <c r="B36" s="4"/>
      <c r="C36" s="4"/>
      <c r="D36" s="4"/>
    </row>
    <row r="37" spans="1:4" x14ac:dyDescent="0.25">
      <c r="A37" s="4"/>
      <c r="B37" s="4"/>
      <c r="C37" s="4"/>
      <c r="D37" s="4"/>
    </row>
    <row r="38" spans="1:4" x14ac:dyDescent="0.25">
      <c r="A38" s="4"/>
      <c r="B38" s="4"/>
      <c r="C38" s="4"/>
      <c r="D38" s="4"/>
    </row>
    <row r="39" spans="1:4" x14ac:dyDescent="0.25">
      <c r="A39" s="4"/>
      <c r="B39" s="4"/>
      <c r="C39" s="4"/>
      <c r="D39" s="4"/>
    </row>
    <row r="40" spans="1:4" x14ac:dyDescent="0.25">
      <c r="A40" s="4"/>
      <c r="B40" s="4"/>
      <c r="C40" s="4"/>
      <c r="D40" s="4"/>
    </row>
    <row r="41" spans="1:4" x14ac:dyDescent="0.25">
      <c r="A41" s="4"/>
      <c r="B41" s="4"/>
      <c r="C41" s="4"/>
      <c r="D41"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Erfassung</vt:lpstr>
      <vt:lpstr>Parameter</vt:lpstr>
      <vt:lpstr>Texte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Röthlisberger</dc:creator>
  <cp:lastModifiedBy>Röthlisberger Christoph</cp:lastModifiedBy>
  <cp:lastPrinted>2020-06-13T10:34:14Z</cp:lastPrinted>
  <dcterms:created xsi:type="dcterms:W3CDTF">2020-06-01T02:35:18Z</dcterms:created>
  <dcterms:modified xsi:type="dcterms:W3CDTF">2020-07-13T18:56:11Z</dcterms:modified>
</cp:coreProperties>
</file>